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131" windowWidth="11820" windowHeight="68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<sst xmlns="http://schemas.openxmlformats.org/spreadsheetml/2006/main" count="225" uniqueCount="66">
  <si>
    <t xml:space="preserve">           Nbre d'encans:</t>
  </si>
  <si>
    <t>DATE</t>
  </si>
  <si>
    <t>ENDROIT</t>
  </si>
  <si>
    <t>TÊTES</t>
  </si>
  <si>
    <t>400 et -</t>
  </si>
  <si>
    <t>401-500</t>
  </si>
  <si>
    <t>501-600</t>
  </si>
  <si>
    <t>601-700</t>
  </si>
  <si>
    <t>701-800</t>
  </si>
  <si>
    <t>801-900</t>
  </si>
  <si>
    <t xml:space="preserve">   901et +</t>
  </si>
  <si>
    <t xml:space="preserve"> 601-700</t>
  </si>
  <si>
    <t xml:space="preserve">     801-900</t>
  </si>
  <si>
    <t xml:space="preserve">    900 et +</t>
  </si>
  <si>
    <t xml:space="preserve">   900 et +</t>
  </si>
  <si>
    <t>MÂLES</t>
  </si>
  <si>
    <t>FEMELLES</t>
  </si>
  <si>
    <t xml:space="preserve">     DIFFÉRENCE</t>
  </si>
  <si>
    <t>ST-ISIDORE</t>
  </si>
  <si>
    <t xml:space="preserve">     PRIX MOYEN AUTOMNE 2002 ( 55 )</t>
  </si>
  <si>
    <t xml:space="preserve">     PRIX MOYEN HIVER 2002 ( 24 )</t>
  </si>
  <si>
    <t xml:space="preserve">     PRIX MOYEN HIVER 2003 ( 27 )</t>
  </si>
  <si>
    <t xml:space="preserve">     PRIX MOYEN AUTOMNE 2003 (56)</t>
  </si>
  <si>
    <t>Guy Beauregard, agronome</t>
  </si>
  <si>
    <t>MAPAQ, Direction régionale du Centre-du-Québec</t>
  </si>
  <si>
    <t>COMPARAISON AVEC LES ENCANS PRÉCÉDENTS</t>
  </si>
  <si>
    <t xml:space="preserve">     PRIX MOYEN HIVER 2004 ( 27 )</t>
  </si>
  <si>
    <t xml:space="preserve">     PRIX MOYEN AUTOMNE 2004 (51)</t>
  </si>
  <si>
    <t xml:space="preserve">     PRIX MOYENS AUTOMNE 2004</t>
  </si>
  <si>
    <t>sur 43:</t>
  </si>
  <si>
    <t xml:space="preserve">          Têtes vendues  sur un  total  de 52 500 têtes:</t>
  </si>
  <si>
    <t xml:space="preserve">     PRIX MOYEN HIVER 2005 ( 28 )</t>
  </si>
  <si>
    <t xml:space="preserve">    PRIX  MOYENS AUTOMNE 2005</t>
  </si>
  <si>
    <t xml:space="preserve">     PRIX MOYENS HIVER 2005</t>
  </si>
  <si>
    <t>(28)</t>
  </si>
  <si>
    <t>(51)</t>
  </si>
  <si>
    <t xml:space="preserve">Nicolet, </t>
  </si>
  <si>
    <t>c: \ veaux d'embouche automne 2005.xls</t>
  </si>
  <si>
    <t>SAWYERVILLE</t>
  </si>
  <si>
    <t>MOYENNE DE L'ÉCART DE PRIX *</t>
  </si>
  <si>
    <t>Source: Rapport quotidien encans spécialisées, FPBQ, www.bovin.qc.ca</t>
  </si>
  <si>
    <t>* Déterminé à partir de 85 % des veaux vendus dans la catégorie.</t>
  </si>
  <si>
    <t>NOMBRE DE TÊTES PAR CATÉGORIE</t>
  </si>
  <si>
    <t>SOMME AUTOMNE 2005</t>
  </si>
  <si>
    <t>SOMME VEAUX MÂLES</t>
  </si>
  <si>
    <t>SOMME VEAUX FEMELLES</t>
  </si>
  <si>
    <t>LA GUADELOUPE</t>
  </si>
  <si>
    <t>PRINCEVILLE</t>
  </si>
  <si>
    <t xml:space="preserve">  MOYENNE HEB AUTOMNE 2005</t>
  </si>
  <si>
    <t xml:space="preserve">  Semaine du</t>
  </si>
  <si>
    <t>Comment utiliser le document?</t>
  </si>
  <si>
    <t xml:space="preserve">   1- La moyenne des écarts permet de voir les écarts à l'écran de l'ordinateur au niveau de la barre de formule.</t>
  </si>
  <si>
    <t xml:space="preserve">   2- Dorénavant, la moyenne des encans par catégorie sera calculé à partir des moyennes hebdomadaires fournies par la Fédération des producteurs de bovins du Québec.</t>
  </si>
  <si>
    <t xml:space="preserve">      15 % moins bons veaux.</t>
  </si>
  <si>
    <r>
      <t xml:space="preserve">      </t>
    </r>
    <r>
      <rPr>
        <b/>
        <sz val="10"/>
        <rFont val="Arial"/>
        <family val="2"/>
      </rPr>
      <t>Ce n'est pas la moyenne de tous les veaux vendus,</t>
    </r>
    <r>
      <rPr>
        <sz val="10"/>
        <rFont val="Arial"/>
        <family val="0"/>
      </rPr>
      <t xml:space="preserve"> mais bien la moyenne de </t>
    </r>
    <r>
      <rPr>
        <b/>
        <sz val="10"/>
        <rFont val="Arial"/>
        <family val="2"/>
      </rPr>
      <t>85 % des veaux</t>
    </r>
    <r>
      <rPr>
        <sz val="10"/>
        <rFont val="Arial"/>
        <family val="0"/>
      </rPr>
      <t xml:space="preserve"> vendus dans cette catégorie. On enlève 3 à 4 % des meilleurs veaux et 12 à</t>
    </r>
  </si>
  <si>
    <t>M</t>
  </si>
  <si>
    <t>BIC</t>
  </si>
  <si>
    <t>LAC-À-LA-CROIX</t>
  </si>
  <si>
    <t xml:space="preserve">  L'encan a eu lieu. Résultats à  venir</t>
  </si>
  <si>
    <t xml:space="preserve"> </t>
  </si>
  <si>
    <t>301-400</t>
  </si>
  <si>
    <t>(3)</t>
  </si>
  <si>
    <t>Nicolet,</t>
  </si>
  <si>
    <t>ST-HYACINTHE</t>
  </si>
  <si>
    <t>DANVILLE</t>
  </si>
  <si>
    <t>Moyenne (2)</t>
  </si>
</sst>
</file>

<file path=xl/styles.xml><?xml version="1.0" encoding="utf-8"?>
<styleSheet xmlns="http://schemas.openxmlformats.org/spreadsheetml/2006/main">
  <numFmts count="2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"/>
    <numFmt numFmtId="173" formatCode="0.0%"/>
    <numFmt numFmtId="174" formatCode="0.000"/>
    <numFmt numFmtId="175" formatCode="0.0000"/>
    <numFmt numFmtId="176" formatCode="mmm/yyyy"/>
    <numFmt numFmtId="177" formatCode="d\ mmmm\ 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1" fillId="0" borderId="0" xfId="19" applyNumberFormat="1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9" fontId="1" fillId="0" borderId="0" xfId="19" applyNumberFormat="1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Continuous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2" fontId="5" fillId="0" borderId="0" xfId="0" applyNumberFormat="1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73" fontId="1" fillId="0" borderId="0" xfId="19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Alignment="1" quotePrefix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172" fontId="0" fillId="0" borderId="0" xfId="0" applyNumberFormat="1" applyAlignment="1">
      <alignment horizontal="right"/>
    </xf>
    <xf numFmtId="172" fontId="5" fillId="0" borderId="2" xfId="0" applyNumberFormat="1" applyFont="1" applyBorder="1" applyAlignment="1">
      <alignment/>
    </xf>
    <xf numFmtId="172" fontId="0" fillId="0" borderId="2" xfId="0" applyNumberFormat="1" applyBorder="1" applyAlignment="1">
      <alignment/>
    </xf>
    <xf numFmtId="172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 quotePrefix="1">
      <alignment horizontal="center"/>
    </xf>
    <xf numFmtId="1" fontId="5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73" fontId="0" fillId="0" borderId="0" xfId="19" applyNumberFormat="1" applyBorder="1" applyAlignment="1">
      <alignment/>
    </xf>
    <xf numFmtId="173" fontId="0" fillId="0" borderId="2" xfId="19" applyNumberFormat="1" applyBorder="1" applyAlignment="1">
      <alignment/>
    </xf>
    <xf numFmtId="0" fontId="0" fillId="0" borderId="0" xfId="0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73" fontId="1" fillId="0" borderId="0" xfId="19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73" fontId="0" fillId="0" borderId="0" xfId="19" applyNumberFormat="1" applyFont="1" applyBorder="1" applyAlignment="1">
      <alignment/>
    </xf>
    <xf numFmtId="172" fontId="0" fillId="0" borderId="0" xfId="0" applyNumberFormat="1" applyFont="1" applyAlignment="1">
      <alignment horizontal="left"/>
    </xf>
    <xf numFmtId="177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 quotePrefix="1">
      <alignment horizontal="right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S103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3.57421875" style="0" customWidth="1"/>
    <col min="2" max="2" width="10.421875" style="0" customWidth="1"/>
    <col min="3" max="3" width="16.140625" style="0" customWidth="1"/>
    <col min="4" max="4" width="7.00390625" style="0" customWidth="1"/>
    <col min="5" max="5" width="2.00390625" style="0" customWidth="1"/>
    <col min="6" max="6" width="7.00390625" style="0" customWidth="1"/>
    <col min="7" max="7" width="2.00390625" style="0" customWidth="1"/>
    <col min="8" max="8" width="7.00390625" style="0" customWidth="1"/>
    <col min="9" max="9" width="2.00390625" style="0" customWidth="1"/>
    <col min="10" max="10" width="7.7109375" style="0" customWidth="1"/>
    <col min="11" max="11" width="2.00390625" style="0" customWidth="1"/>
    <col min="12" max="12" width="7.00390625" style="0" customWidth="1"/>
    <col min="13" max="13" width="2.00390625" style="0" customWidth="1"/>
    <col min="14" max="14" width="7.140625" style="0" customWidth="1"/>
    <col min="15" max="15" width="2.00390625" style="0" customWidth="1"/>
    <col min="16" max="16" width="7.140625" style="0" customWidth="1"/>
    <col min="17" max="17" width="2.00390625" style="0" customWidth="1"/>
    <col min="18" max="18" width="7.140625" style="0" customWidth="1"/>
    <col min="19" max="19" width="2.00390625" style="0" customWidth="1"/>
    <col min="20" max="20" width="7.140625" style="0" customWidth="1"/>
    <col min="21" max="21" width="2.00390625" style="0" customWidth="1"/>
    <col min="22" max="22" width="7.140625" style="0" customWidth="1"/>
    <col min="23" max="23" width="2.00390625" style="0" customWidth="1"/>
    <col min="24" max="24" width="7.140625" style="0" customWidth="1"/>
    <col min="25" max="25" width="2.00390625" style="0" customWidth="1"/>
    <col min="26" max="26" width="7.140625" style="0" customWidth="1"/>
    <col min="27" max="27" width="2.00390625" style="0" customWidth="1"/>
    <col min="28" max="28" width="7.140625" style="0" customWidth="1"/>
    <col min="29" max="29" width="2.00390625" style="0" customWidth="1"/>
    <col min="30" max="30" width="7.00390625" style="0" customWidth="1"/>
    <col min="31" max="31" width="2.00390625" style="0" customWidth="1"/>
    <col min="32" max="32" width="6.8515625" style="0" customWidth="1"/>
    <col min="33" max="33" width="11.28125" style="0" customWidth="1"/>
    <col min="34" max="34" width="15.8515625" style="0" customWidth="1"/>
    <col min="35" max="35" width="8.140625" style="0" customWidth="1"/>
    <col min="36" max="36" width="2.7109375" style="0" customWidth="1"/>
    <col min="37" max="37" width="6.28125" style="0" customWidth="1"/>
    <col min="38" max="38" width="2.7109375" style="0" customWidth="1"/>
    <col min="39" max="39" width="6.421875" style="0" customWidth="1"/>
    <col min="40" max="40" width="2.7109375" style="0" customWidth="1"/>
    <col min="41" max="41" width="6.28125" style="0" customWidth="1"/>
    <col min="42" max="42" width="2.7109375" style="0" customWidth="1"/>
    <col min="43" max="43" width="6.28125" style="0" customWidth="1"/>
    <col min="44" max="44" width="2.7109375" style="0" customWidth="1"/>
    <col min="45" max="45" width="6.28125" style="0" customWidth="1"/>
    <col min="46" max="46" width="2.7109375" style="0" customWidth="1"/>
    <col min="47" max="47" width="6.28125" style="0" customWidth="1"/>
    <col min="48" max="48" width="2.7109375" style="0" customWidth="1"/>
    <col min="49" max="49" width="6.28125" style="0" customWidth="1"/>
    <col min="50" max="50" width="2.7109375" style="0" customWidth="1"/>
    <col min="51" max="51" width="6.28125" style="0" customWidth="1"/>
    <col min="52" max="52" width="2.7109375" style="0" customWidth="1"/>
    <col min="53" max="53" width="6.28125" style="0" customWidth="1"/>
    <col min="54" max="54" width="2.7109375" style="0" customWidth="1"/>
    <col min="55" max="55" width="6.28125" style="0" customWidth="1"/>
    <col min="56" max="56" width="2.7109375" style="0" customWidth="1"/>
    <col min="57" max="57" width="6.28125" style="0" customWidth="1"/>
    <col min="58" max="58" width="2.7109375" style="0" customWidth="1"/>
    <col min="59" max="59" width="6.28125" style="0" customWidth="1"/>
    <col min="60" max="60" width="2.7109375" style="0" customWidth="1"/>
    <col min="61" max="61" width="7.140625" style="0" customWidth="1"/>
    <col min="62" max="62" width="2.7109375" style="0" customWidth="1"/>
    <col min="63" max="63" width="7.57421875" style="0" customWidth="1"/>
  </cols>
  <sheetData>
    <row r="1" spans="2:10" ht="20.25" customHeight="1">
      <c r="B1" t="s">
        <v>0</v>
      </c>
      <c r="D1" s="2" t="s">
        <v>29</v>
      </c>
      <c r="H1" s="25">
        <f>COUNTA(D6:D66)</f>
        <v>43</v>
      </c>
      <c r="J1" s="32">
        <f>H1/43</f>
        <v>1</v>
      </c>
    </row>
    <row r="2" spans="2:10" ht="13.5" customHeight="1">
      <c r="B2" s="10" t="s">
        <v>30</v>
      </c>
      <c r="H2" s="25">
        <f>SUM(D6:D66)</f>
        <v>51459</v>
      </c>
      <c r="J2" s="32">
        <f>H2/52500</f>
        <v>0.9801714285714286</v>
      </c>
    </row>
    <row r="3" spans="3:54" ht="12.75">
      <c r="C3" s="12"/>
      <c r="D3" s="9"/>
      <c r="F3" s="21" t="s">
        <v>15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W3" t="s">
        <v>16</v>
      </c>
      <c r="AH3" s="12"/>
      <c r="AI3" s="9"/>
      <c r="AK3" s="21" t="s">
        <v>15</v>
      </c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BB3" t="s">
        <v>16</v>
      </c>
    </row>
    <row r="4" spans="10:63" ht="15.75" customHeight="1">
      <c r="J4" t="s">
        <v>39</v>
      </c>
      <c r="T4" s="21"/>
      <c r="V4" t="s">
        <v>39</v>
      </c>
      <c r="W4" s="21"/>
      <c r="X4" s="21"/>
      <c r="Y4" s="21"/>
      <c r="Z4" s="21"/>
      <c r="AA4" s="21"/>
      <c r="AB4" s="21"/>
      <c r="AC4" s="11"/>
      <c r="AD4" s="11"/>
      <c r="AE4" s="11"/>
      <c r="AF4" s="11"/>
      <c r="AI4" s="24" t="s">
        <v>61</v>
      </c>
      <c r="AO4" t="s">
        <v>42</v>
      </c>
      <c r="AY4" s="21"/>
      <c r="BA4" t="s">
        <v>42</v>
      </c>
      <c r="BB4" s="21"/>
      <c r="BC4" s="21"/>
      <c r="BD4" s="21"/>
      <c r="BE4" s="21"/>
      <c r="BF4" s="21"/>
      <c r="BG4" s="21"/>
      <c r="BH4" s="11"/>
      <c r="BI4" s="11"/>
      <c r="BJ4" s="11"/>
      <c r="BK4" s="11"/>
    </row>
    <row r="5" spans="2:63" ht="17.25" customHeight="1">
      <c r="B5" s="4" t="s">
        <v>1</v>
      </c>
      <c r="C5" s="3" t="s">
        <v>2</v>
      </c>
      <c r="D5" s="4" t="s">
        <v>3</v>
      </c>
      <c r="E5" s="5"/>
      <c r="F5" s="4" t="s">
        <v>4</v>
      </c>
      <c r="G5" s="5"/>
      <c r="H5" s="4" t="s">
        <v>5</v>
      </c>
      <c r="I5" s="5"/>
      <c r="J5" s="4" t="s">
        <v>6</v>
      </c>
      <c r="K5" s="5"/>
      <c r="L5" s="4" t="s">
        <v>7</v>
      </c>
      <c r="M5" s="5"/>
      <c r="N5" s="4" t="s">
        <v>8</v>
      </c>
      <c r="O5" s="5"/>
      <c r="P5" s="16" t="s">
        <v>9</v>
      </c>
      <c r="Q5" s="11" t="s">
        <v>10</v>
      </c>
      <c r="S5" s="14"/>
      <c r="T5" s="16" t="s">
        <v>4</v>
      </c>
      <c r="U5" s="5"/>
      <c r="V5" s="4" t="s">
        <v>5</v>
      </c>
      <c r="W5" s="5"/>
      <c r="X5" s="4" t="s">
        <v>6</v>
      </c>
      <c r="Y5" s="5"/>
      <c r="Z5" s="4" t="s">
        <v>11</v>
      </c>
      <c r="AA5" s="5"/>
      <c r="AB5" s="17" t="s">
        <v>8</v>
      </c>
      <c r="AC5" s="20" t="s">
        <v>12</v>
      </c>
      <c r="AD5" s="11"/>
      <c r="AE5" s="11" t="s">
        <v>13</v>
      </c>
      <c r="AF5" s="11"/>
      <c r="AG5" s="4" t="s">
        <v>1</v>
      </c>
      <c r="AH5" s="3" t="s">
        <v>2</v>
      </c>
      <c r="AI5" s="4" t="s">
        <v>3</v>
      </c>
      <c r="AJ5" s="5"/>
      <c r="AK5" s="4" t="s">
        <v>60</v>
      </c>
      <c r="AL5" s="5"/>
      <c r="AM5" s="4" t="s">
        <v>5</v>
      </c>
      <c r="AN5" s="5"/>
      <c r="AO5" s="4" t="s">
        <v>6</v>
      </c>
      <c r="AP5" s="5"/>
      <c r="AQ5" s="4" t="s">
        <v>7</v>
      </c>
      <c r="AR5" s="5"/>
      <c r="AS5" s="4" t="s">
        <v>8</v>
      </c>
      <c r="AT5" s="5"/>
      <c r="AU5" s="16" t="s">
        <v>9</v>
      </c>
      <c r="AV5" s="11" t="s">
        <v>10</v>
      </c>
      <c r="AX5" s="14"/>
      <c r="AY5" s="4" t="s">
        <v>60</v>
      </c>
      <c r="AZ5" s="5"/>
      <c r="BA5" s="4" t="s">
        <v>5</v>
      </c>
      <c r="BB5" s="5"/>
      <c r="BC5" s="4" t="s">
        <v>6</v>
      </c>
      <c r="BD5" s="5"/>
      <c r="BE5" s="4" t="s">
        <v>11</v>
      </c>
      <c r="BF5" s="5"/>
      <c r="BG5" s="17" t="s">
        <v>8</v>
      </c>
      <c r="BH5" s="20" t="s">
        <v>12</v>
      </c>
      <c r="BI5" s="20"/>
      <c r="BK5" s="17" t="s">
        <v>13</v>
      </c>
    </row>
    <row r="6" spans="1:63" ht="12.75">
      <c r="A6">
        <v>1</v>
      </c>
      <c r="B6" s="26">
        <v>38590</v>
      </c>
      <c r="C6" s="27" t="s">
        <v>18</v>
      </c>
      <c r="D6" s="18">
        <v>1081</v>
      </c>
      <c r="E6" s="15"/>
      <c r="F6" s="36">
        <f>(118+148)/2</f>
        <v>133</v>
      </c>
      <c r="G6" s="37"/>
      <c r="H6" s="36">
        <f>(110+154)/2</f>
        <v>132</v>
      </c>
      <c r="I6" s="36"/>
      <c r="J6" s="36">
        <f>(120+153)/2</f>
        <v>136.5</v>
      </c>
      <c r="K6" s="36"/>
      <c r="L6" s="36">
        <f>(117+148)/2</f>
        <v>132.5</v>
      </c>
      <c r="M6" s="36"/>
      <c r="N6" s="36">
        <f>(120+138)/2</f>
        <v>129</v>
      </c>
      <c r="O6" s="36"/>
      <c r="P6" s="36">
        <f>(110+127)/2</f>
        <v>118.5</v>
      </c>
      <c r="Q6" s="36"/>
      <c r="R6" s="36">
        <f>(90+115)/2</f>
        <v>102.5</v>
      </c>
      <c r="S6" s="14"/>
      <c r="T6" s="36">
        <f>(110+130)/2</f>
        <v>120</v>
      </c>
      <c r="U6" s="36"/>
      <c r="V6" s="36">
        <f>(100+138)/2</f>
        <v>119</v>
      </c>
      <c r="W6" s="36"/>
      <c r="X6" s="36">
        <f>(100+128)/2</f>
        <v>114</v>
      </c>
      <c r="Y6" s="36"/>
      <c r="Z6" s="36">
        <f>(100+126)/2</f>
        <v>113</v>
      </c>
      <c r="AA6" s="36"/>
      <c r="AB6" s="36">
        <f>(100+124)/2</f>
        <v>112</v>
      </c>
      <c r="AC6" s="36"/>
      <c r="AD6" s="36">
        <f>(97+119)/2</f>
        <v>108</v>
      </c>
      <c r="AE6" s="36"/>
      <c r="AF6" s="36">
        <f>(87+100)/2</f>
        <v>93.5</v>
      </c>
      <c r="AG6" s="26">
        <v>38590</v>
      </c>
      <c r="AH6" s="27" t="s">
        <v>18</v>
      </c>
      <c r="AI6" s="18">
        <v>1081</v>
      </c>
      <c r="AJ6" s="15"/>
      <c r="AK6" s="44">
        <v>3</v>
      </c>
      <c r="AL6" s="37"/>
      <c r="AM6" s="44">
        <v>42</v>
      </c>
      <c r="AN6" s="44"/>
      <c r="AO6" s="44">
        <v>118</v>
      </c>
      <c r="AP6" s="44"/>
      <c r="AQ6" s="58">
        <v>172</v>
      </c>
      <c r="AR6" s="36"/>
      <c r="AS6" s="44">
        <v>158</v>
      </c>
      <c r="AT6" s="44"/>
      <c r="AU6" s="44">
        <v>115</v>
      </c>
      <c r="AV6" s="44"/>
      <c r="AW6" s="44">
        <v>65</v>
      </c>
      <c r="AX6" s="14"/>
      <c r="AY6" s="44">
        <v>3</v>
      </c>
      <c r="AZ6" s="44"/>
      <c r="BA6" s="44">
        <v>31</v>
      </c>
      <c r="BB6" s="44"/>
      <c r="BC6" s="44">
        <v>91</v>
      </c>
      <c r="BD6" s="44"/>
      <c r="BE6" s="44">
        <v>86</v>
      </c>
      <c r="BF6" s="44"/>
      <c r="BG6" s="44">
        <v>98</v>
      </c>
      <c r="BH6" s="44"/>
      <c r="BI6" s="44">
        <v>71</v>
      </c>
      <c r="BJ6" s="50"/>
      <c r="BK6" s="44">
        <v>28</v>
      </c>
    </row>
    <row r="7" spans="1:63" ht="12.75">
      <c r="A7">
        <v>2</v>
      </c>
      <c r="B7" s="26">
        <v>38596</v>
      </c>
      <c r="C7" s="27" t="s">
        <v>38</v>
      </c>
      <c r="D7" s="18">
        <v>780</v>
      </c>
      <c r="E7" s="15"/>
      <c r="F7" s="36">
        <f>(130+152)/2</f>
        <v>141</v>
      </c>
      <c r="G7" s="37"/>
      <c r="H7" s="36">
        <f>(104+158)/2</f>
        <v>131</v>
      </c>
      <c r="I7" s="36"/>
      <c r="J7" s="36">
        <f>(107+149)/2</f>
        <v>128</v>
      </c>
      <c r="K7" s="36"/>
      <c r="L7" s="36">
        <f>(115+139)/2</f>
        <v>127</v>
      </c>
      <c r="M7" s="36"/>
      <c r="N7" s="36">
        <f>(115+132)/2</f>
        <v>123.5</v>
      </c>
      <c r="O7" s="36"/>
      <c r="P7" s="36">
        <f>(110+124)/2</f>
        <v>117</v>
      </c>
      <c r="Q7" s="36"/>
      <c r="R7" s="36">
        <f>(94+110)/2</f>
        <v>102</v>
      </c>
      <c r="S7" s="14"/>
      <c r="T7" s="36">
        <f>(74+100)/2</f>
        <v>87</v>
      </c>
      <c r="U7" s="36"/>
      <c r="V7" s="36">
        <f>(80+132)/2</f>
        <v>106</v>
      </c>
      <c r="W7" s="36"/>
      <c r="X7" s="36">
        <f>(101+132)/2</f>
        <v>116.5</v>
      </c>
      <c r="Y7" s="36"/>
      <c r="Z7" s="36">
        <f>(111+128)/2</f>
        <v>119.5</v>
      </c>
      <c r="AA7" s="36"/>
      <c r="AB7" s="36">
        <f>(100+127)/2</f>
        <v>113.5</v>
      </c>
      <c r="AC7" s="36"/>
      <c r="AD7" s="36">
        <f>(52+112)/2</f>
        <v>82</v>
      </c>
      <c r="AE7" s="36"/>
      <c r="AF7" s="36">
        <f>(90+105)/2</f>
        <v>97.5</v>
      </c>
      <c r="AG7" s="26">
        <v>38596</v>
      </c>
      <c r="AH7" s="27" t="s">
        <v>38</v>
      </c>
      <c r="AI7" s="18">
        <v>780</v>
      </c>
      <c r="AJ7" s="15"/>
      <c r="AK7" s="44">
        <v>9</v>
      </c>
      <c r="AL7" s="51"/>
      <c r="AM7" s="44">
        <v>38</v>
      </c>
      <c r="AN7" s="44"/>
      <c r="AO7" s="44">
        <v>85</v>
      </c>
      <c r="AP7" s="44"/>
      <c r="AQ7" s="58">
        <v>142</v>
      </c>
      <c r="AR7" s="44"/>
      <c r="AS7" s="44">
        <v>109</v>
      </c>
      <c r="AT7" s="44"/>
      <c r="AU7" s="44">
        <v>56</v>
      </c>
      <c r="AV7" s="44"/>
      <c r="AW7" s="44">
        <v>34</v>
      </c>
      <c r="AX7" s="14"/>
      <c r="AY7" s="44">
        <v>5</v>
      </c>
      <c r="BA7" s="44">
        <v>41</v>
      </c>
      <c r="BB7" s="44"/>
      <c r="BC7" s="44">
        <v>73</v>
      </c>
      <c r="BD7" s="44"/>
      <c r="BE7" s="44">
        <v>101</v>
      </c>
      <c r="BF7" s="44"/>
      <c r="BG7" s="44">
        <v>62</v>
      </c>
      <c r="BH7" s="44"/>
      <c r="BI7" s="44">
        <v>12</v>
      </c>
      <c r="BJ7" s="44"/>
      <c r="BK7" s="44">
        <v>13</v>
      </c>
    </row>
    <row r="8" spans="1:63" ht="12.75">
      <c r="A8">
        <v>3</v>
      </c>
      <c r="B8" s="26">
        <v>38597</v>
      </c>
      <c r="C8" t="s">
        <v>18</v>
      </c>
      <c r="D8" s="18">
        <v>1164</v>
      </c>
      <c r="E8" s="15"/>
      <c r="F8" s="36">
        <f>(125+164)/2</f>
        <v>144.5</v>
      </c>
      <c r="G8" s="37"/>
      <c r="H8" s="36">
        <f>(100+161)/2</f>
        <v>130.5</v>
      </c>
      <c r="I8" s="36"/>
      <c r="J8" s="36">
        <f>(123+154)/2</f>
        <v>138.5</v>
      </c>
      <c r="K8" s="36"/>
      <c r="L8" s="36">
        <f>(127+149)/2</f>
        <v>138</v>
      </c>
      <c r="M8" s="36"/>
      <c r="N8" s="36">
        <f>(120+143)/2</f>
        <v>131.5</v>
      </c>
      <c r="O8" s="36"/>
      <c r="P8" s="36">
        <f>(120+133)/2</f>
        <v>126.5</v>
      </c>
      <c r="Q8" s="36"/>
      <c r="R8" s="36">
        <f>(107+123)/2</f>
        <v>115</v>
      </c>
      <c r="S8" s="14"/>
      <c r="T8" s="36">
        <f>(120+140)/2</f>
        <v>130</v>
      </c>
      <c r="U8" s="36"/>
      <c r="V8" s="36">
        <f>(106+137)/2</f>
        <v>121.5</v>
      </c>
      <c r="W8" s="36"/>
      <c r="X8" s="36">
        <f>(106+132)/2</f>
        <v>119</v>
      </c>
      <c r="Y8" s="36"/>
      <c r="Z8" s="36">
        <f>(107+126)/2</f>
        <v>116.5</v>
      </c>
      <c r="AA8" s="36"/>
      <c r="AB8" s="36">
        <f>(100+120)/2</f>
        <v>110</v>
      </c>
      <c r="AC8" s="36"/>
      <c r="AD8" s="36">
        <f>(99+114)/2</f>
        <v>106.5</v>
      </c>
      <c r="AE8" s="36"/>
      <c r="AF8" s="36">
        <f>(84+99)/2</f>
        <v>91.5</v>
      </c>
      <c r="AG8" s="26">
        <v>38597</v>
      </c>
      <c r="AH8" t="s">
        <v>18</v>
      </c>
      <c r="AI8" s="18">
        <v>1164</v>
      </c>
      <c r="AJ8" s="15"/>
      <c r="AK8" s="44">
        <v>9</v>
      </c>
      <c r="AL8" s="51"/>
      <c r="AM8" s="44">
        <v>40</v>
      </c>
      <c r="AN8" s="44"/>
      <c r="AO8" s="44">
        <v>121</v>
      </c>
      <c r="AP8" s="44"/>
      <c r="AQ8" s="58">
        <v>211</v>
      </c>
      <c r="AR8" s="44"/>
      <c r="AS8" s="44">
        <v>195</v>
      </c>
      <c r="AT8" s="44"/>
      <c r="AU8" s="44">
        <v>92</v>
      </c>
      <c r="AV8" s="44"/>
      <c r="AW8" s="44">
        <v>20</v>
      </c>
      <c r="AX8" s="14"/>
      <c r="AY8" s="44">
        <v>13</v>
      </c>
      <c r="AZ8" s="44"/>
      <c r="BA8" s="44">
        <v>28</v>
      </c>
      <c r="BB8" s="44"/>
      <c r="BC8" s="44">
        <v>87</v>
      </c>
      <c r="BD8" s="44"/>
      <c r="BE8" s="44">
        <v>160</v>
      </c>
      <c r="BF8" s="44"/>
      <c r="BG8" s="44">
        <v>129</v>
      </c>
      <c r="BH8" s="44"/>
      <c r="BI8" s="44">
        <v>48</v>
      </c>
      <c r="BJ8" s="44"/>
      <c r="BK8" s="44">
        <v>11</v>
      </c>
    </row>
    <row r="9" spans="1:63" ht="12.75">
      <c r="A9">
        <v>4</v>
      </c>
      <c r="B9" s="26">
        <v>38602</v>
      </c>
      <c r="C9" t="s">
        <v>46</v>
      </c>
      <c r="D9" s="18">
        <v>699</v>
      </c>
      <c r="E9" s="15"/>
      <c r="F9" s="36">
        <f>(116+161)/2</f>
        <v>138.5</v>
      </c>
      <c r="G9" s="37"/>
      <c r="H9" s="36">
        <f>(133+160)/2</f>
        <v>146.5</v>
      </c>
      <c r="I9" s="36"/>
      <c r="J9" s="36">
        <f>(111+152)/2</f>
        <v>131.5</v>
      </c>
      <c r="K9" s="36"/>
      <c r="L9" s="36">
        <f>(120+143)/2</f>
        <v>131.5</v>
      </c>
      <c r="M9" s="36"/>
      <c r="N9" s="36">
        <f>(120+134)/2</f>
        <v>127</v>
      </c>
      <c r="O9" s="36"/>
      <c r="P9" s="36">
        <f>(111+126)/2</f>
        <v>118.5</v>
      </c>
      <c r="Q9" s="36"/>
      <c r="R9" s="36">
        <f>(98+113)/2</f>
        <v>105.5</v>
      </c>
      <c r="S9" s="14"/>
      <c r="T9" s="36">
        <f>(88+100)/2</f>
        <v>94</v>
      </c>
      <c r="U9" s="36"/>
      <c r="V9" s="36">
        <f>(90+140)/2</f>
        <v>115</v>
      </c>
      <c r="W9" s="36"/>
      <c r="X9" s="36">
        <f>(100+129)/2</f>
        <v>114.5</v>
      </c>
      <c r="Y9" s="36"/>
      <c r="Z9" s="36">
        <f>(110+126)/2</f>
        <v>118</v>
      </c>
      <c r="AA9" s="36"/>
      <c r="AB9" s="36">
        <f>(100+122)/2</f>
        <v>111</v>
      </c>
      <c r="AC9" s="36"/>
      <c r="AD9" s="36">
        <f>(88+114)/2</f>
        <v>101</v>
      </c>
      <c r="AE9" s="36"/>
      <c r="AF9" s="36">
        <f>(103+103)/2</f>
        <v>103</v>
      </c>
      <c r="AG9" s="26">
        <v>38602</v>
      </c>
      <c r="AH9" t="s">
        <v>46</v>
      </c>
      <c r="AI9" s="18">
        <v>699</v>
      </c>
      <c r="AJ9" s="15"/>
      <c r="AK9" s="44">
        <v>13</v>
      </c>
      <c r="AL9" s="51"/>
      <c r="AM9" s="44">
        <v>39</v>
      </c>
      <c r="AN9" s="44"/>
      <c r="AO9" s="44">
        <v>101</v>
      </c>
      <c r="AP9" s="44"/>
      <c r="AQ9" s="58">
        <v>133</v>
      </c>
      <c r="AR9" s="44"/>
      <c r="AS9" s="44">
        <v>79</v>
      </c>
      <c r="AT9" s="44"/>
      <c r="AU9" s="44">
        <v>19</v>
      </c>
      <c r="AV9" s="44"/>
      <c r="AW9" s="44">
        <v>10</v>
      </c>
      <c r="AX9" s="14"/>
      <c r="AY9" s="44">
        <v>6</v>
      </c>
      <c r="AZ9" s="44"/>
      <c r="BA9" s="44">
        <v>45</v>
      </c>
      <c r="BB9" s="44"/>
      <c r="BC9" s="44">
        <v>102</v>
      </c>
      <c r="BD9" s="44"/>
      <c r="BE9" s="44">
        <v>89</v>
      </c>
      <c r="BF9" s="44"/>
      <c r="BG9" s="44">
        <v>45</v>
      </c>
      <c r="BH9" s="44"/>
      <c r="BI9" s="44">
        <v>17</v>
      </c>
      <c r="BJ9" s="44"/>
      <c r="BK9" s="44">
        <v>1</v>
      </c>
    </row>
    <row r="10" spans="1:63" ht="12.75">
      <c r="A10">
        <v>5</v>
      </c>
      <c r="B10" s="26">
        <v>38603</v>
      </c>
      <c r="C10" t="s">
        <v>47</v>
      </c>
      <c r="D10" s="18">
        <v>724</v>
      </c>
      <c r="E10" s="15"/>
      <c r="F10" s="36">
        <f>(100+158)/2</f>
        <v>129</v>
      </c>
      <c r="G10" s="37"/>
      <c r="H10" s="36">
        <f>(112+159)/2</f>
        <v>135.5</v>
      </c>
      <c r="I10" s="36"/>
      <c r="J10" s="36">
        <f>(125+147)/2</f>
        <v>136</v>
      </c>
      <c r="K10" s="36"/>
      <c r="L10" s="36">
        <f>(109+136)/2</f>
        <v>122.5</v>
      </c>
      <c r="M10" s="36"/>
      <c r="N10" s="36">
        <f>(111+135)/2</f>
        <v>123</v>
      </c>
      <c r="O10" s="36"/>
      <c r="P10" s="36">
        <f>(106+125)/2</f>
        <v>115.5</v>
      </c>
      <c r="Q10" s="36"/>
      <c r="R10" s="36">
        <f>(95+112)/2</f>
        <v>103.5</v>
      </c>
      <c r="S10" s="14"/>
      <c r="T10" s="36">
        <f>(80+125)/2</f>
        <v>102.5</v>
      </c>
      <c r="U10" s="36"/>
      <c r="V10" s="36">
        <f>(80+133)/2</f>
        <v>106.5</v>
      </c>
      <c r="W10" s="36"/>
      <c r="X10" s="36">
        <f>(73+127)/2</f>
        <v>100</v>
      </c>
      <c r="Y10" s="36"/>
      <c r="Z10" s="36">
        <f>(90+122)/2</f>
        <v>106</v>
      </c>
      <c r="AA10" s="36"/>
      <c r="AB10" s="36">
        <f>(105+122)/2</f>
        <v>113.5</v>
      </c>
      <c r="AC10" s="36"/>
      <c r="AD10" s="36">
        <f>(95+114)/2</f>
        <v>104.5</v>
      </c>
      <c r="AE10" s="36"/>
      <c r="AF10" s="36">
        <f>(80+105)/2</f>
        <v>92.5</v>
      </c>
      <c r="AG10" s="26">
        <v>38603</v>
      </c>
      <c r="AH10" t="s">
        <v>47</v>
      </c>
      <c r="AI10" s="18">
        <v>724</v>
      </c>
      <c r="AJ10" s="15"/>
      <c r="AK10" s="44">
        <v>8</v>
      </c>
      <c r="AL10" s="51"/>
      <c r="AM10" s="44">
        <v>45</v>
      </c>
      <c r="AN10" s="44"/>
      <c r="AO10" s="44">
        <v>84</v>
      </c>
      <c r="AP10" s="44"/>
      <c r="AQ10" s="58">
        <v>132</v>
      </c>
      <c r="AR10" s="44"/>
      <c r="AS10" s="44">
        <v>88</v>
      </c>
      <c r="AT10" s="44"/>
      <c r="AU10" s="44">
        <v>38</v>
      </c>
      <c r="AV10" s="44"/>
      <c r="AW10" s="44">
        <v>16</v>
      </c>
      <c r="AX10" s="14"/>
      <c r="AY10" s="44">
        <v>15</v>
      </c>
      <c r="AZ10" s="44"/>
      <c r="BA10" s="44">
        <v>42</v>
      </c>
      <c r="BB10" s="44"/>
      <c r="BC10" s="44">
        <v>79</v>
      </c>
      <c r="BD10" s="44"/>
      <c r="BE10" s="44">
        <v>95</v>
      </c>
      <c r="BF10" s="44"/>
      <c r="BG10" s="44">
        <v>58</v>
      </c>
      <c r="BH10" s="44"/>
      <c r="BI10" s="44">
        <v>12</v>
      </c>
      <c r="BJ10" s="44"/>
      <c r="BK10" s="44">
        <v>12</v>
      </c>
    </row>
    <row r="11" spans="1:63" ht="12.75">
      <c r="A11">
        <v>6</v>
      </c>
      <c r="B11" s="26">
        <v>38604</v>
      </c>
      <c r="C11" t="s">
        <v>18</v>
      </c>
      <c r="D11" s="18">
        <v>962</v>
      </c>
      <c r="E11" s="15"/>
      <c r="F11" s="36">
        <f>(70+151)/2</f>
        <v>110.5</v>
      </c>
      <c r="G11" s="37"/>
      <c r="H11" s="36">
        <f>(124+152)/2</f>
        <v>138</v>
      </c>
      <c r="I11" s="36"/>
      <c r="J11" s="36">
        <f>(110+148)/2</f>
        <v>129</v>
      </c>
      <c r="K11" s="36"/>
      <c r="L11" s="36">
        <f>(116+142)/2</f>
        <v>129</v>
      </c>
      <c r="M11" s="36"/>
      <c r="N11" s="36">
        <f>(115+133)/2</f>
        <v>124</v>
      </c>
      <c r="O11" s="36"/>
      <c r="P11" s="36">
        <f>(105+125)/2</f>
        <v>115</v>
      </c>
      <c r="Q11" s="36"/>
      <c r="R11" s="36">
        <f>(80+108)/2</f>
        <v>94</v>
      </c>
      <c r="S11" s="14"/>
      <c r="T11" s="36">
        <f>(80+131)/2</f>
        <v>105.5</v>
      </c>
      <c r="U11" s="36"/>
      <c r="V11" s="36">
        <f>(82+137)/2</f>
        <v>109.5</v>
      </c>
      <c r="W11" s="36"/>
      <c r="X11" s="36">
        <f>(80+128)/2</f>
        <v>104</v>
      </c>
      <c r="Y11" s="36"/>
      <c r="Z11" s="36">
        <f>(100+120)/2</f>
        <v>110</v>
      </c>
      <c r="AA11" s="36"/>
      <c r="AB11" s="36">
        <f>(100+114)/2</f>
        <v>107</v>
      </c>
      <c r="AC11" s="36"/>
      <c r="AD11" s="36">
        <f>(80+109)/2</f>
        <v>94.5</v>
      </c>
      <c r="AE11" s="36"/>
      <c r="AF11" s="36">
        <f>(70+97)/2</f>
        <v>83.5</v>
      </c>
      <c r="AG11" s="26">
        <v>38604</v>
      </c>
      <c r="AH11" t="s">
        <v>18</v>
      </c>
      <c r="AI11" s="18">
        <v>962</v>
      </c>
      <c r="AJ11" s="15"/>
      <c r="AK11" s="44">
        <v>7</v>
      </c>
      <c r="AL11" s="51"/>
      <c r="AM11" s="44">
        <v>42</v>
      </c>
      <c r="AN11" s="44"/>
      <c r="AO11" s="44">
        <v>132</v>
      </c>
      <c r="AP11" s="44"/>
      <c r="AQ11" s="58">
        <v>185</v>
      </c>
      <c r="AR11" s="44"/>
      <c r="AS11" s="44">
        <v>135</v>
      </c>
      <c r="AT11" s="44"/>
      <c r="AU11" s="44">
        <v>55</v>
      </c>
      <c r="AV11" s="44"/>
      <c r="AW11" s="44">
        <v>8</v>
      </c>
      <c r="AX11" s="14"/>
      <c r="AY11" s="44">
        <v>7</v>
      </c>
      <c r="AZ11" s="44"/>
      <c r="BA11" s="44">
        <v>48</v>
      </c>
      <c r="BB11" s="44"/>
      <c r="BC11" s="44">
        <v>122</v>
      </c>
      <c r="BD11" s="44"/>
      <c r="BE11" s="44">
        <v>129</v>
      </c>
      <c r="BF11" s="44"/>
      <c r="BG11" s="44">
        <v>57</v>
      </c>
      <c r="BH11" s="44"/>
      <c r="BI11" s="44">
        <v>27</v>
      </c>
      <c r="BJ11" s="44"/>
      <c r="BK11" s="44">
        <v>8</v>
      </c>
    </row>
    <row r="12" spans="1:64" ht="12.75">
      <c r="A12">
        <v>7</v>
      </c>
      <c r="B12" s="26">
        <v>38609</v>
      </c>
      <c r="C12" t="s">
        <v>46</v>
      </c>
      <c r="D12" s="18">
        <v>732</v>
      </c>
      <c r="E12" s="15"/>
      <c r="F12" s="36">
        <f>(100+150)/2</f>
        <v>125</v>
      </c>
      <c r="G12" s="37"/>
      <c r="H12" s="36">
        <f>(130+155)/2</f>
        <v>142.5</v>
      </c>
      <c r="I12" s="36"/>
      <c r="J12" s="36">
        <f>(125+146)/2</f>
        <v>135.5</v>
      </c>
      <c r="K12" s="36"/>
      <c r="L12" s="36">
        <f>(125+135)/2</f>
        <v>130</v>
      </c>
      <c r="M12" s="36"/>
      <c r="N12" s="36">
        <f>(120+131)/2</f>
        <v>125.5</v>
      </c>
      <c r="O12" s="36"/>
      <c r="P12" s="36">
        <f>(119+129)/2</f>
        <v>124</v>
      </c>
      <c r="Q12" s="36"/>
      <c r="R12" s="36">
        <f>(112+116)/2</f>
        <v>114</v>
      </c>
      <c r="S12" s="14"/>
      <c r="T12" s="36">
        <f>(60+101)/2</f>
        <v>80.5</v>
      </c>
      <c r="U12" s="36"/>
      <c r="V12" s="36">
        <f>(100+135)/2</f>
        <v>117.5</v>
      </c>
      <c r="W12" s="36"/>
      <c r="X12" s="36">
        <f>(115+135)/2</f>
        <v>125</v>
      </c>
      <c r="Y12" s="36"/>
      <c r="Z12" s="36">
        <f>(110+126)/2</f>
        <v>118</v>
      </c>
      <c r="AA12" s="36"/>
      <c r="AB12" s="36">
        <f>(108+117)/2</f>
        <v>112.5</v>
      </c>
      <c r="AC12" s="36"/>
      <c r="AD12" s="36">
        <f>(106+112)/2</f>
        <v>109</v>
      </c>
      <c r="AE12" s="36"/>
      <c r="AF12" s="36"/>
      <c r="AG12" s="26">
        <v>38609</v>
      </c>
      <c r="AH12" t="s">
        <v>46</v>
      </c>
      <c r="AI12" s="66">
        <f aca="true" t="shared" si="0" ref="AI12:AI39">SUM(AK12:BK12)</f>
        <v>731</v>
      </c>
      <c r="AJ12" s="15"/>
      <c r="AK12" s="44">
        <v>2</v>
      </c>
      <c r="AL12" s="51"/>
      <c r="AM12" s="44">
        <v>71</v>
      </c>
      <c r="AN12" s="44"/>
      <c r="AO12" s="58">
        <v>144</v>
      </c>
      <c r="AP12" s="44"/>
      <c r="AQ12" s="44">
        <v>138</v>
      </c>
      <c r="AR12" s="44"/>
      <c r="AS12" s="44">
        <v>76</v>
      </c>
      <c r="AT12" s="44"/>
      <c r="AU12" s="44">
        <v>23</v>
      </c>
      <c r="AV12" s="44"/>
      <c r="AW12" s="44">
        <v>7</v>
      </c>
      <c r="AX12" s="14"/>
      <c r="AY12" s="44">
        <v>6</v>
      </c>
      <c r="AZ12" s="44"/>
      <c r="BA12" s="44">
        <v>41</v>
      </c>
      <c r="BB12" s="44"/>
      <c r="BC12" s="44">
        <v>104</v>
      </c>
      <c r="BD12" s="44"/>
      <c r="BE12" s="44">
        <v>82</v>
      </c>
      <c r="BF12" s="44"/>
      <c r="BG12" s="44">
        <v>31</v>
      </c>
      <c r="BH12" s="44"/>
      <c r="BI12" s="44">
        <v>6</v>
      </c>
      <c r="BJ12" s="44"/>
      <c r="BK12" s="44"/>
      <c r="BL12" s="65"/>
    </row>
    <row r="13" spans="1:63" ht="12.75">
      <c r="A13">
        <v>8</v>
      </c>
      <c r="B13" s="26">
        <v>38610</v>
      </c>
      <c r="C13" t="s">
        <v>38</v>
      </c>
      <c r="D13" s="18">
        <v>983</v>
      </c>
      <c r="E13" s="15"/>
      <c r="F13" s="36">
        <f>(109+152)/2</f>
        <v>130.5</v>
      </c>
      <c r="G13" s="37"/>
      <c r="H13" s="36">
        <f>(124+154)/2</f>
        <v>139</v>
      </c>
      <c r="I13" s="36"/>
      <c r="J13" s="36">
        <f>(122+148)/2</f>
        <v>135</v>
      </c>
      <c r="K13" s="36"/>
      <c r="L13" s="36">
        <f>(120+138)/2</f>
        <v>129</v>
      </c>
      <c r="M13" s="36"/>
      <c r="N13" s="36">
        <f>(118+132)/2</f>
        <v>125</v>
      </c>
      <c r="O13" s="36"/>
      <c r="P13" s="36">
        <f>(115+127)/2</f>
        <v>121</v>
      </c>
      <c r="Q13" s="36"/>
      <c r="R13" s="36">
        <f>(49+117)/2</f>
        <v>83</v>
      </c>
      <c r="S13" s="14"/>
      <c r="T13" s="36">
        <f>(93+136)/2</f>
        <v>114.5</v>
      </c>
      <c r="U13" s="36"/>
      <c r="V13" s="36">
        <f>(110+136)/2</f>
        <v>123</v>
      </c>
      <c r="W13" s="36"/>
      <c r="X13" s="36">
        <f>(110+134)/2</f>
        <v>122</v>
      </c>
      <c r="Y13" s="36"/>
      <c r="Z13" s="36">
        <f>(108+124)/2</f>
        <v>116</v>
      </c>
      <c r="AA13" s="36"/>
      <c r="AB13" s="36">
        <f>(106+122)/2</f>
        <v>114</v>
      </c>
      <c r="AC13" s="36"/>
      <c r="AD13" s="36">
        <f>(50+110)/2</f>
        <v>80</v>
      </c>
      <c r="AE13" s="36"/>
      <c r="AF13" s="36">
        <f>(50+100)/2</f>
        <v>75</v>
      </c>
      <c r="AG13" s="26">
        <v>38610</v>
      </c>
      <c r="AH13" t="s">
        <v>38</v>
      </c>
      <c r="AI13" s="66">
        <f t="shared" si="0"/>
        <v>983</v>
      </c>
      <c r="AJ13" s="15"/>
      <c r="AK13" s="44">
        <v>34</v>
      </c>
      <c r="AL13" s="51"/>
      <c r="AM13" s="44">
        <v>106</v>
      </c>
      <c r="AN13" s="44"/>
      <c r="AO13" s="58">
        <v>201</v>
      </c>
      <c r="AP13" s="44"/>
      <c r="AQ13" s="44">
        <v>143</v>
      </c>
      <c r="AR13" s="44"/>
      <c r="AS13" s="44">
        <v>77</v>
      </c>
      <c r="AT13" s="44"/>
      <c r="AU13" s="44">
        <v>27</v>
      </c>
      <c r="AV13" s="44"/>
      <c r="AW13" s="44">
        <v>6</v>
      </c>
      <c r="AX13" s="14"/>
      <c r="AY13" s="44">
        <v>30</v>
      </c>
      <c r="AZ13" s="44"/>
      <c r="BA13" s="44">
        <v>111</v>
      </c>
      <c r="BB13" s="44"/>
      <c r="BC13" s="44">
        <v>125</v>
      </c>
      <c r="BD13" s="44"/>
      <c r="BE13" s="44">
        <v>71</v>
      </c>
      <c r="BF13" s="44"/>
      <c r="BG13" s="44">
        <v>41</v>
      </c>
      <c r="BH13" s="44"/>
      <c r="BI13" s="44">
        <v>5</v>
      </c>
      <c r="BJ13" s="44"/>
      <c r="BK13" s="44">
        <v>6</v>
      </c>
    </row>
    <row r="14" spans="1:63" ht="12.75">
      <c r="A14">
        <v>9</v>
      </c>
      <c r="B14" s="26">
        <v>38611</v>
      </c>
      <c r="C14" t="s">
        <v>18</v>
      </c>
      <c r="D14" s="18">
        <v>1641</v>
      </c>
      <c r="E14" s="15"/>
      <c r="F14" s="36">
        <f>(120+153)/2</f>
        <v>136.5</v>
      </c>
      <c r="G14" s="37"/>
      <c r="H14" s="36">
        <f>(126+154)/2</f>
        <v>140</v>
      </c>
      <c r="I14" s="36"/>
      <c r="J14" s="36">
        <f>(120+149)/2</f>
        <v>134.5</v>
      </c>
      <c r="K14" s="36"/>
      <c r="L14" s="36">
        <f>(118+143)/2</f>
        <v>130.5</v>
      </c>
      <c r="M14" s="36"/>
      <c r="N14" s="36">
        <f>(120+134)/2</f>
        <v>127</v>
      </c>
      <c r="O14" s="36"/>
      <c r="P14" s="36">
        <f>(108+131)/2</f>
        <v>119.5</v>
      </c>
      <c r="Q14" s="36"/>
      <c r="R14" s="36">
        <f>(90+117)/2</f>
        <v>103.5</v>
      </c>
      <c r="S14" s="14"/>
      <c r="T14" s="36">
        <f>(70+144)/2</f>
        <v>107</v>
      </c>
      <c r="U14" s="36"/>
      <c r="V14" s="36">
        <f>(100+140)/2</f>
        <v>120</v>
      </c>
      <c r="W14" s="36"/>
      <c r="X14" s="36">
        <f>(110+138)/2</f>
        <v>124</v>
      </c>
      <c r="Y14" s="36"/>
      <c r="Z14" s="36">
        <f>(105+125)/2</f>
        <v>115</v>
      </c>
      <c r="AA14" s="36"/>
      <c r="AB14" s="36">
        <f>(97+122)/2</f>
        <v>109.5</v>
      </c>
      <c r="AC14" s="36"/>
      <c r="AD14" s="36">
        <f>(96+111)/2</f>
        <v>103.5</v>
      </c>
      <c r="AE14" s="36"/>
      <c r="AF14" s="36">
        <f>(60+89)/2</f>
        <v>74.5</v>
      </c>
      <c r="AG14" s="26">
        <v>38611</v>
      </c>
      <c r="AH14" t="s">
        <v>18</v>
      </c>
      <c r="AI14" s="66">
        <f t="shared" si="0"/>
        <v>1639</v>
      </c>
      <c r="AJ14" s="15"/>
      <c r="AK14" s="44">
        <v>24</v>
      </c>
      <c r="AM14" s="51">
        <v>127</v>
      </c>
      <c r="AN14" s="44"/>
      <c r="AO14" s="44">
        <v>225</v>
      </c>
      <c r="AP14" s="44"/>
      <c r="AQ14" s="58">
        <v>288</v>
      </c>
      <c r="AR14" s="44"/>
      <c r="AS14" s="44">
        <v>269</v>
      </c>
      <c r="AT14" s="44"/>
      <c r="AU14" s="44">
        <v>57</v>
      </c>
      <c r="AW14" s="44">
        <v>7</v>
      </c>
      <c r="AX14" s="14"/>
      <c r="AY14" s="44">
        <v>23</v>
      </c>
      <c r="AZ14" s="44"/>
      <c r="BA14" s="44">
        <v>95</v>
      </c>
      <c r="BB14" s="44"/>
      <c r="BC14" s="44">
        <v>169</v>
      </c>
      <c r="BD14" s="44"/>
      <c r="BE14" s="44">
        <v>227</v>
      </c>
      <c r="BF14" s="44"/>
      <c r="BG14" s="44">
        <v>98</v>
      </c>
      <c r="BH14" s="44"/>
      <c r="BI14" s="44">
        <v>27</v>
      </c>
      <c r="BJ14" s="44"/>
      <c r="BK14" s="44">
        <v>3</v>
      </c>
    </row>
    <row r="15" spans="1:63" ht="12.75">
      <c r="A15">
        <v>10</v>
      </c>
      <c r="B15" s="26">
        <v>38616</v>
      </c>
      <c r="C15" t="s">
        <v>46</v>
      </c>
      <c r="D15" s="18">
        <v>760</v>
      </c>
      <c r="E15" s="15"/>
      <c r="F15" s="36">
        <f>(126+159)/2</f>
        <v>142.5</v>
      </c>
      <c r="G15" s="37"/>
      <c r="H15" s="36">
        <f>(127+155)/2</f>
        <v>141</v>
      </c>
      <c r="I15" s="36"/>
      <c r="J15" s="36">
        <f>(127+150)/2</f>
        <v>138.5</v>
      </c>
      <c r="K15" s="36"/>
      <c r="L15" s="36">
        <f>(125+146)/2</f>
        <v>135.5</v>
      </c>
      <c r="M15" s="36"/>
      <c r="N15" s="36">
        <f>(125+138)/2</f>
        <v>131.5</v>
      </c>
      <c r="O15" s="36"/>
      <c r="P15" s="36">
        <f>(114+128)/2</f>
        <v>121</v>
      </c>
      <c r="Q15" s="36"/>
      <c r="R15" s="36">
        <f>(113+113)/2</f>
        <v>113</v>
      </c>
      <c r="S15" s="14"/>
      <c r="T15" s="36">
        <f>(80+142)/2</f>
        <v>111</v>
      </c>
      <c r="U15" s="36"/>
      <c r="V15" s="36">
        <f>(110+140)/2</f>
        <v>125</v>
      </c>
      <c r="W15" s="36"/>
      <c r="X15" s="36">
        <f>(110+137)/2</f>
        <v>123.5</v>
      </c>
      <c r="Y15" s="36"/>
      <c r="Z15" s="36">
        <f>(110+128)/2</f>
        <v>119</v>
      </c>
      <c r="AA15" s="36"/>
      <c r="AB15" s="36">
        <f>(109+122)/2</f>
        <v>115.5</v>
      </c>
      <c r="AC15" s="36"/>
      <c r="AD15" s="36">
        <f>(82+116)/2</f>
        <v>99</v>
      </c>
      <c r="AE15" s="36"/>
      <c r="AF15" s="36">
        <f>(100+107)/2</f>
        <v>103.5</v>
      </c>
      <c r="AG15" s="26">
        <v>38616</v>
      </c>
      <c r="AH15" t="s">
        <v>46</v>
      </c>
      <c r="AI15" s="66">
        <f t="shared" si="0"/>
        <v>742</v>
      </c>
      <c r="AJ15" s="15"/>
      <c r="AK15" s="44">
        <v>19</v>
      </c>
      <c r="AM15" s="51">
        <v>95</v>
      </c>
      <c r="AN15" s="44"/>
      <c r="AO15" s="58">
        <v>117</v>
      </c>
      <c r="AP15" s="44"/>
      <c r="AQ15" s="44">
        <v>114</v>
      </c>
      <c r="AR15" s="44"/>
      <c r="AS15" s="44">
        <v>45</v>
      </c>
      <c r="AT15" s="44"/>
      <c r="AU15" s="44">
        <v>28</v>
      </c>
      <c r="AW15" s="44">
        <v>1</v>
      </c>
      <c r="AX15" s="14"/>
      <c r="AY15" s="44">
        <v>18</v>
      </c>
      <c r="AZ15" s="44"/>
      <c r="BA15" s="44">
        <v>81</v>
      </c>
      <c r="BB15" s="44"/>
      <c r="BC15" s="44">
        <v>106</v>
      </c>
      <c r="BD15" s="44"/>
      <c r="BE15" s="44">
        <v>68</v>
      </c>
      <c r="BF15" s="44"/>
      <c r="BG15" s="44">
        <v>30</v>
      </c>
      <c r="BI15" s="44">
        <v>16</v>
      </c>
      <c r="BJ15" s="44"/>
      <c r="BK15" s="44">
        <v>4</v>
      </c>
    </row>
    <row r="16" spans="1:63" ht="12.75">
      <c r="A16">
        <v>11</v>
      </c>
      <c r="B16" s="26">
        <v>38617</v>
      </c>
      <c r="C16" t="s">
        <v>47</v>
      </c>
      <c r="D16" s="18">
        <v>1135</v>
      </c>
      <c r="E16" s="15"/>
      <c r="F16" s="36">
        <f>(140+158)/2</f>
        <v>149</v>
      </c>
      <c r="G16" s="37"/>
      <c r="H16" s="36">
        <f>(128+159)/2</f>
        <v>143.5</v>
      </c>
      <c r="I16" s="36"/>
      <c r="J16" s="36">
        <f>(126+151)/2</f>
        <v>138.5</v>
      </c>
      <c r="K16" s="36"/>
      <c r="L16" s="36">
        <f>(126+149)/2</f>
        <v>137.5</v>
      </c>
      <c r="M16" s="36"/>
      <c r="N16" s="36">
        <f>(124+144)/2</f>
        <v>134</v>
      </c>
      <c r="O16" s="36"/>
      <c r="P16" s="36">
        <f>(121+135)/2</f>
        <v>128</v>
      </c>
      <c r="Q16" s="36"/>
      <c r="R16" s="36">
        <f>(100+123)/2</f>
        <v>111.5</v>
      </c>
      <c r="S16" s="14"/>
      <c r="T16" s="36">
        <f>(70+142)/2</f>
        <v>106</v>
      </c>
      <c r="U16" s="36"/>
      <c r="V16" s="36">
        <f>(100+139)/2</f>
        <v>119.5</v>
      </c>
      <c r="W16" s="36"/>
      <c r="X16" s="36">
        <f>(110+139)/2</f>
        <v>124.5</v>
      </c>
      <c r="Y16" s="36"/>
      <c r="Z16" s="36">
        <f>(105+128)/2</f>
        <v>116.5</v>
      </c>
      <c r="AA16" s="36"/>
      <c r="AB16" s="36">
        <f>(95+123)/2</f>
        <v>109</v>
      </c>
      <c r="AC16" s="36"/>
      <c r="AD16" s="36">
        <f>(70+115)/2</f>
        <v>92.5</v>
      </c>
      <c r="AE16" s="36"/>
      <c r="AF16" s="36">
        <f>(80+95)/2</f>
        <v>87.5</v>
      </c>
      <c r="AG16" s="26">
        <v>38617</v>
      </c>
      <c r="AH16" t="s">
        <v>47</v>
      </c>
      <c r="AI16" s="66">
        <f t="shared" si="0"/>
        <v>1132</v>
      </c>
      <c r="AJ16" s="15"/>
      <c r="AK16" s="44">
        <v>4</v>
      </c>
      <c r="AM16" s="51">
        <v>66</v>
      </c>
      <c r="AN16" s="44"/>
      <c r="AO16" s="44">
        <v>160</v>
      </c>
      <c r="AP16" s="44"/>
      <c r="AQ16" s="58">
        <v>254</v>
      </c>
      <c r="AS16" s="44">
        <v>146</v>
      </c>
      <c r="AU16" s="44">
        <v>70</v>
      </c>
      <c r="AW16" s="44">
        <v>19</v>
      </c>
      <c r="AX16" s="14"/>
      <c r="AY16" s="44">
        <v>7</v>
      </c>
      <c r="AZ16" s="44"/>
      <c r="BA16" s="44">
        <v>51</v>
      </c>
      <c r="BC16" s="44">
        <v>126</v>
      </c>
      <c r="BD16" s="44"/>
      <c r="BE16" s="44">
        <v>144</v>
      </c>
      <c r="BF16" s="44"/>
      <c r="BG16" s="44">
        <v>61</v>
      </c>
      <c r="BH16" s="44"/>
      <c r="BI16" s="44">
        <v>17</v>
      </c>
      <c r="BJ16" s="44"/>
      <c r="BK16" s="44">
        <v>7</v>
      </c>
    </row>
    <row r="17" spans="1:63" ht="12.75">
      <c r="A17">
        <v>12</v>
      </c>
      <c r="B17" s="26">
        <v>38618</v>
      </c>
      <c r="C17" t="s">
        <v>18</v>
      </c>
      <c r="D17" s="18">
        <v>1170</v>
      </c>
      <c r="E17" s="15"/>
      <c r="F17" s="36">
        <f>(138+165)/2</f>
        <v>151.5</v>
      </c>
      <c r="G17" s="37"/>
      <c r="H17" s="36">
        <f>(130+159)/2</f>
        <v>144.5</v>
      </c>
      <c r="I17" s="36"/>
      <c r="J17" s="36">
        <f>(128+150)/2</f>
        <v>139</v>
      </c>
      <c r="K17" s="36"/>
      <c r="L17" s="36">
        <f>(124+148)/2</f>
        <v>136</v>
      </c>
      <c r="M17" s="36"/>
      <c r="N17" s="36">
        <f>(120+139)/2</f>
        <v>129.5</v>
      </c>
      <c r="O17" s="36"/>
      <c r="P17" s="36">
        <f>(118+132)/2</f>
        <v>125</v>
      </c>
      <c r="Q17" s="36"/>
      <c r="R17" s="36">
        <f>(84+122)/2</f>
        <v>103</v>
      </c>
      <c r="S17" s="14"/>
      <c r="T17" s="36">
        <f>(100+151)/2</f>
        <v>125.5</v>
      </c>
      <c r="U17" s="36"/>
      <c r="V17" s="36">
        <f>(115+143)/2</f>
        <v>129</v>
      </c>
      <c r="W17" s="36"/>
      <c r="X17" s="36">
        <f>(118+137)/2</f>
        <v>127.5</v>
      </c>
      <c r="Y17" s="36"/>
      <c r="Z17" s="36">
        <f>(111+131)/2</f>
        <v>121</v>
      </c>
      <c r="AA17" s="36"/>
      <c r="AB17" s="36">
        <f>(108+125)/2</f>
        <v>116.5</v>
      </c>
      <c r="AC17" s="36"/>
      <c r="AD17" s="36">
        <f>(85+121)/2</f>
        <v>103</v>
      </c>
      <c r="AE17" s="36"/>
      <c r="AF17" s="36">
        <f>(100+107)/2</f>
        <v>103.5</v>
      </c>
      <c r="AG17" s="26">
        <v>38618</v>
      </c>
      <c r="AH17" t="s">
        <v>18</v>
      </c>
      <c r="AI17" s="66">
        <f t="shared" si="0"/>
        <v>1156</v>
      </c>
      <c r="AJ17" s="15"/>
      <c r="AK17" s="44">
        <v>36</v>
      </c>
      <c r="AM17" s="51">
        <v>79</v>
      </c>
      <c r="AN17" s="44"/>
      <c r="AO17" s="44">
        <v>185</v>
      </c>
      <c r="AP17" s="44"/>
      <c r="AQ17" s="58">
        <v>205</v>
      </c>
      <c r="AR17" s="44"/>
      <c r="AS17" s="44">
        <v>131</v>
      </c>
      <c r="AT17" s="44"/>
      <c r="AU17" s="44">
        <v>55</v>
      </c>
      <c r="AW17" s="44">
        <v>8</v>
      </c>
      <c r="AX17" s="14"/>
      <c r="AY17" s="44">
        <v>24</v>
      </c>
      <c r="AZ17" s="44"/>
      <c r="BA17" s="44">
        <v>78</v>
      </c>
      <c r="BB17" s="44"/>
      <c r="BC17" s="44">
        <v>121</v>
      </c>
      <c r="BD17" s="44"/>
      <c r="BE17" s="44">
        <v>159</v>
      </c>
      <c r="BF17" s="44"/>
      <c r="BG17" s="44">
        <v>56</v>
      </c>
      <c r="BH17" s="44"/>
      <c r="BI17" s="44">
        <v>16</v>
      </c>
      <c r="BK17" s="44">
        <v>3</v>
      </c>
    </row>
    <row r="18" spans="1:63" ht="12.75">
      <c r="A18">
        <v>13</v>
      </c>
      <c r="B18" s="26">
        <v>38623</v>
      </c>
      <c r="C18" t="s">
        <v>56</v>
      </c>
      <c r="D18" s="18">
        <v>496</v>
      </c>
      <c r="E18" s="15"/>
      <c r="F18" s="36">
        <f>(100+158)/2</f>
        <v>129</v>
      </c>
      <c r="G18" s="37"/>
      <c r="H18" s="36">
        <f>(124+152)/2</f>
        <v>138</v>
      </c>
      <c r="I18" s="36"/>
      <c r="J18" s="36">
        <f>(117+151)/2</f>
        <v>134</v>
      </c>
      <c r="K18" s="36"/>
      <c r="L18" s="36">
        <f>(107+144)/2</f>
        <v>125.5</v>
      </c>
      <c r="M18" s="36"/>
      <c r="N18" s="36">
        <f>(107+134)/2</f>
        <v>120.5</v>
      </c>
      <c r="O18" s="36"/>
      <c r="P18" s="36">
        <f>(84+128)/2</f>
        <v>106</v>
      </c>
      <c r="Q18" s="36"/>
      <c r="R18" s="36">
        <f>(71+107)/2</f>
        <v>89</v>
      </c>
      <c r="S18" s="14"/>
      <c r="T18" s="36">
        <f>(80+128)/2</f>
        <v>104</v>
      </c>
      <c r="U18" s="36"/>
      <c r="V18" s="36">
        <f>(95+136)/2</f>
        <v>115.5</v>
      </c>
      <c r="W18" s="36"/>
      <c r="X18" s="36">
        <f>(102+130)/2</f>
        <v>116</v>
      </c>
      <c r="Y18" s="36"/>
      <c r="Z18" s="36">
        <f>(109+123)/2</f>
        <v>116</v>
      </c>
      <c r="AA18" s="36"/>
      <c r="AB18" s="36">
        <f>(95+123)/2</f>
        <v>109</v>
      </c>
      <c r="AC18" s="36"/>
      <c r="AD18" s="36">
        <f>(103+120)/2</f>
        <v>111.5</v>
      </c>
      <c r="AE18" s="36"/>
      <c r="AF18" s="36">
        <f>(89+95)/2</f>
        <v>92</v>
      </c>
      <c r="AG18" s="26">
        <v>38623</v>
      </c>
      <c r="AH18" t="s">
        <v>56</v>
      </c>
      <c r="AI18" s="66">
        <f t="shared" si="0"/>
        <v>492</v>
      </c>
      <c r="AJ18" s="15"/>
      <c r="AK18" s="44">
        <v>8</v>
      </c>
      <c r="AM18" s="51">
        <v>46</v>
      </c>
      <c r="AN18" s="44"/>
      <c r="AO18" s="58">
        <v>82</v>
      </c>
      <c r="AP18" s="44"/>
      <c r="AQ18" s="44">
        <v>71</v>
      </c>
      <c r="AR18" s="44"/>
      <c r="AS18" s="44">
        <v>40</v>
      </c>
      <c r="AT18" s="44"/>
      <c r="AU18" s="44">
        <v>19</v>
      </c>
      <c r="AW18" s="44">
        <v>6</v>
      </c>
      <c r="AX18" s="14"/>
      <c r="AY18" s="44">
        <v>4</v>
      </c>
      <c r="AZ18" s="44"/>
      <c r="BA18" s="44">
        <v>40</v>
      </c>
      <c r="BB18" s="44"/>
      <c r="BC18" s="44">
        <v>73</v>
      </c>
      <c r="BD18" s="44"/>
      <c r="BE18" s="44">
        <v>54</v>
      </c>
      <c r="BF18" s="44"/>
      <c r="BG18" s="44">
        <v>33</v>
      </c>
      <c r="BH18" s="44"/>
      <c r="BI18" s="44">
        <v>14</v>
      </c>
      <c r="BK18" s="44">
        <v>2</v>
      </c>
    </row>
    <row r="19" spans="1:63" ht="12.75">
      <c r="A19">
        <v>14</v>
      </c>
      <c r="B19" s="26">
        <v>38624</v>
      </c>
      <c r="C19" t="s">
        <v>38</v>
      </c>
      <c r="D19" s="18">
        <v>880</v>
      </c>
      <c r="E19" s="15"/>
      <c r="F19" s="36">
        <f>(130+158)/2</f>
        <v>144</v>
      </c>
      <c r="G19" s="37"/>
      <c r="H19" s="36">
        <f>(136+159)/2</f>
        <v>147.5</v>
      </c>
      <c r="I19" s="36"/>
      <c r="J19" s="36">
        <f>(134+160)/2</f>
        <v>147</v>
      </c>
      <c r="K19" s="36"/>
      <c r="L19" s="36">
        <f>(118+151)/2</f>
        <v>134.5</v>
      </c>
      <c r="M19" s="36"/>
      <c r="N19" s="36">
        <f>(124+144)/2</f>
        <v>134</v>
      </c>
      <c r="O19" s="36"/>
      <c r="P19" s="36">
        <f>(91+128)/2</f>
        <v>109.5</v>
      </c>
      <c r="Q19" s="36"/>
      <c r="R19" s="36">
        <f>(50+94)/2</f>
        <v>72</v>
      </c>
      <c r="S19" s="14"/>
      <c r="T19" s="36">
        <f>(112+141)/2</f>
        <v>126.5</v>
      </c>
      <c r="U19" s="36"/>
      <c r="V19" s="36">
        <f>(108+142)/2</f>
        <v>125</v>
      </c>
      <c r="W19" s="36"/>
      <c r="X19" s="36">
        <f>(116+132)/2</f>
        <v>124</v>
      </c>
      <c r="Y19" s="36"/>
      <c r="Z19" s="36">
        <f>(112+127)/2</f>
        <v>119.5</v>
      </c>
      <c r="AA19" s="36"/>
      <c r="AB19" s="36">
        <f>(106+120)/2</f>
        <v>113</v>
      </c>
      <c r="AC19" s="36"/>
      <c r="AD19" s="36">
        <f>(50+116)/2</f>
        <v>83</v>
      </c>
      <c r="AE19" s="36"/>
      <c r="AF19" s="36">
        <f>(105+105)/2</f>
        <v>105</v>
      </c>
      <c r="AG19" s="26">
        <v>38624</v>
      </c>
      <c r="AH19" t="s">
        <v>38</v>
      </c>
      <c r="AI19" s="66">
        <f>SUM(AK19:BK19)</f>
        <v>879</v>
      </c>
      <c r="AJ19" s="15"/>
      <c r="AK19" s="44">
        <v>16</v>
      </c>
      <c r="AM19" s="51">
        <v>96</v>
      </c>
      <c r="AN19" s="44"/>
      <c r="AO19" s="58">
        <v>156</v>
      </c>
      <c r="AP19" s="44"/>
      <c r="AQ19" s="44">
        <v>119</v>
      </c>
      <c r="AR19" s="44"/>
      <c r="AS19" s="44">
        <v>62</v>
      </c>
      <c r="AT19" s="44"/>
      <c r="AU19" s="44">
        <v>8</v>
      </c>
      <c r="AW19" s="44">
        <v>3</v>
      </c>
      <c r="AX19" s="14"/>
      <c r="AY19" s="44">
        <v>27</v>
      </c>
      <c r="AZ19" s="44"/>
      <c r="BA19" s="44">
        <v>100</v>
      </c>
      <c r="BB19" s="44"/>
      <c r="BC19" s="44">
        <v>156</v>
      </c>
      <c r="BD19" s="44"/>
      <c r="BE19" s="44">
        <v>104</v>
      </c>
      <c r="BF19" s="44"/>
      <c r="BG19" s="44">
        <v>27</v>
      </c>
      <c r="BH19" s="44"/>
      <c r="BI19" s="44">
        <v>4</v>
      </c>
      <c r="BK19" s="44">
        <v>1</v>
      </c>
    </row>
    <row r="20" spans="1:63" ht="12.75">
      <c r="A20">
        <v>15</v>
      </c>
      <c r="B20" s="26">
        <v>38625</v>
      </c>
      <c r="C20" t="s">
        <v>18</v>
      </c>
      <c r="D20" s="18">
        <v>1373</v>
      </c>
      <c r="E20" s="15"/>
      <c r="F20" s="36">
        <f>(132+161)/2</f>
        <v>146.5</v>
      </c>
      <c r="G20" s="37"/>
      <c r="H20" s="36">
        <f>(135+160)/2</f>
        <v>147.5</v>
      </c>
      <c r="I20" s="36"/>
      <c r="J20" s="36">
        <f>(132+151)/2</f>
        <v>141.5</v>
      </c>
      <c r="K20" s="36"/>
      <c r="L20" s="36">
        <f>(120+146)/2</f>
        <v>133</v>
      </c>
      <c r="M20" s="36"/>
      <c r="N20" s="36">
        <f>(120+142)/2</f>
        <v>131</v>
      </c>
      <c r="O20" s="36"/>
      <c r="P20" s="36">
        <f>(119+132)/2</f>
        <v>125.5</v>
      </c>
      <c r="Q20" s="36"/>
      <c r="R20" s="36">
        <f>(82+121)/2</f>
        <v>101.5</v>
      </c>
      <c r="S20" s="14"/>
      <c r="T20" s="36">
        <f>(100+141)/2</f>
        <v>120.5</v>
      </c>
      <c r="U20" s="36"/>
      <c r="V20" s="36">
        <f>(10+137)/2</f>
        <v>73.5</v>
      </c>
      <c r="W20" s="36"/>
      <c r="X20" s="36">
        <f>(115+131)/2</f>
        <v>123</v>
      </c>
      <c r="Y20" s="36"/>
      <c r="Z20" s="36">
        <f>(112+129)/2</f>
        <v>120.5</v>
      </c>
      <c r="AA20" s="36"/>
      <c r="AB20" s="36">
        <f>(115+126)/2</f>
        <v>120.5</v>
      </c>
      <c r="AC20" s="36"/>
      <c r="AD20" s="36">
        <f>(101+119)/2</f>
        <v>110</v>
      </c>
      <c r="AE20" s="36"/>
      <c r="AF20" s="36">
        <f>(100+106)/2</f>
        <v>103</v>
      </c>
      <c r="AG20" s="26">
        <v>38625</v>
      </c>
      <c r="AH20" t="s">
        <v>18</v>
      </c>
      <c r="AI20" s="66">
        <f t="shared" si="0"/>
        <v>1370</v>
      </c>
      <c r="AJ20" s="15"/>
      <c r="AK20" s="44">
        <v>33</v>
      </c>
      <c r="AM20" s="51">
        <v>100</v>
      </c>
      <c r="AN20" s="44"/>
      <c r="AO20" s="44">
        <v>219</v>
      </c>
      <c r="AP20" s="44"/>
      <c r="AQ20" s="58">
        <v>230</v>
      </c>
      <c r="AR20" s="44"/>
      <c r="AS20" s="44">
        <v>155</v>
      </c>
      <c r="AT20" s="44"/>
      <c r="AU20" s="44">
        <v>52</v>
      </c>
      <c r="AW20" s="44">
        <v>12</v>
      </c>
      <c r="AX20" s="14"/>
      <c r="AY20" s="44">
        <v>42</v>
      </c>
      <c r="AZ20" s="44"/>
      <c r="BA20" s="44">
        <v>88</v>
      </c>
      <c r="BB20" s="44"/>
      <c r="BC20" s="44">
        <v>195</v>
      </c>
      <c r="BD20" s="44"/>
      <c r="BE20" s="44">
        <v>152</v>
      </c>
      <c r="BF20" s="44"/>
      <c r="BG20" s="44">
        <v>72</v>
      </c>
      <c r="BH20" s="44"/>
      <c r="BI20" s="44">
        <v>16</v>
      </c>
      <c r="BK20" s="44">
        <v>4</v>
      </c>
    </row>
    <row r="21" spans="1:50" ht="12.75">
      <c r="A21">
        <v>16</v>
      </c>
      <c r="B21" s="26">
        <v>38629</v>
      </c>
      <c r="C21" t="s">
        <v>57</v>
      </c>
      <c r="D21" s="18">
        <v>0</v>
      </c>
      <c r="E21" s="15"/>
      <c r="F21" s="71" t="s">
        <v>58</v>
      </c>
      <c r="L21" s="37"/>
      <c r="M21" s="36"/>
      <c r="N21" s="36"/>
      <c r="O21" s="36"/>
      <c r="P21" s="36"/>
      <c r="Q21" s="36"/>
      <c r="R21" s="36"/>
      <c r="S21" s="14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26">
        <v>38629</v>
      </c>
      <c r="AH21" t="s">
        <v>57</v>
      </c>
      <c r="AI21" s="18">
        <v>0</v>
      </c>
      <c r="AJ21" s="15"/>
      <c r="AX21" s="14"/>
    </row>
    <row r="22" spans="1:63" ht="12.75">
      <c r="A22">
        <v>17</v>
      </c>
      <c r="B22" s="26">
        <v>38630</v>
      </c>
      <c r="C22" t="s">
        <v>46</v>
      </c>
      <c r="D22" s="18">
        <v>750</v>
      </c>
      <c r="E22" s="15"/>
      <c r="F22" s="36">
        <f>(125+155)/2</f>
        <v>140</v>
      </c>
      <c r="G22" s="37"/>
      <c r="H22" s="36">
        <f>(130+155)/2</f>
        <v>142.5</v>
      </c>
      <c r="I22" s="36"/>
      <c r="J22" s="36">
        <f>(134+150)/2</f>
        <v>142</v>
      </c>
      <c r="K22" s="36"/>
      <c r="L22" s="36">
        <f>(110+145)/2</f>
        <v>127.5</v>
      </c>
      <c r="M22" s="36"/>
      <c r="N22" s="36">
        <f>(120+137)/2</f>
        <v>128.5</v>
      </c>
      <c r="O22" s="36"/>
      <c r="P22" s="36">
        <f>(96+120)/2</f>
        <v>108</v>
      </c>
      <c r="Q22" s="36"/>
      <c r="R22" s="36">
        <f>(110+110)/2</f>
        <v>110</v>
      </c>
      <c r="S22" s="14"/>
      <c r="T22" s="36">
        <f>(100+130)/2</f>
        <v>115</v>
      </c>
      <c r="U22" s="36"/>
      <c r="V22" s="36">
        <f>(110+137)/2</f>
        <v>123.5</v>
      </c>
      <c r="W22" s="36"/>
      <c r="X22" s="36">
        <f>(114+133)/2</f>
        <v>123.5</v>
      </c>
      <c r="Y22" s="36"/>
      <c r="Z22" s="36">
        <f>(110+124)/2</f>
        <v>117</v>
      </c>
      <c r="AA22" s="36"/>
      <c r="AB22" s="36">
        <f>(110+120)/2</f>
        <v>115</v>
      </c>
      <c r="AC22" s="36"/>
      <c r="AD22" s="36"/>
      <c r="AE22" s="36"/>
      <c r="AF22" s="36">
        <f>(65+65)/2</f>
        <v>65</v>
      </c>
      <c r="AG22" s="26">
        <v>38630</v>
      </c>
      <c r="AH22" t="s">
        <v>46</v>
      </c>
      <c r="AI22" s="66">
        <f>SUM(AK22:BK22)</f>
        <v>742</v>
      </c>
      <c r="AJ22" s="15"/>
      <c r="AK22" s="44">
        <v>23</v>
      </c>
      <c r="AM22" s="51">
        <v>113</v>
      </c>
      <c r="AN22" s="44"/>
      <c r="AO22" s="58">
        <v>154</v>
      </c>
      <c r="AP22" s="44"/>
      <c r="AQ22" s="44">
        <v>103</v>
      </c>
      <c r="AR22" s="44"/>
      <c r="AS22" s="44">
        <v>34</v>
      </c>
      <c r="AT22" s="44"/>
      <c r="AU22" s="44">
        <v>6</v>
      </c>
      <c r="AW22" s="44">
        <v>1</v>
      </c>
      <c r="AX22" s="14"/>
      <c r="AY22" s="44">
        <v>27</v>
      </c>
      <c r="BA22" s="44">
        <v>82</v>
      </c>
      <c r="BB22" s="44"/>
      <c r="BC22" s="58">
        <v>120</v>
      </c>
      <c r="BD22" s="44"/>
      <c r="BE22" s="44">
        <v>68</v>
      </c>
      <c r="BF22" s="44"/>
      <c r="BG22" s="44">
        <v>10</v>
      </c>
      <c r="BH22" s="44"/>
      <c r="BI22" s="44"/>
      <c r="BK22" s="44">
        <v>1</v>
      </c>
    </row>
    <row r="23" spans="1:63" ht="12.75">
      <c r="A23">
        <v>18</v>
      </c>
      <c r="B23" s="26">
        <v>38631</v>
      </c>
      <c r="C23" t="s">
        <v>38</v>
      </c>
      <c r="D23" s="18">
        <v>1009</v>
      </c>
      <c r="E23" s="15"/>
      <c r="F23" s="36">
        <f>(118+162)/2</f>
        <v>140</v>
      </c>
      <c r="G23" s="37"/>
      <c r="H23" s="36">
        <f>(128+159)/2</f>
        <v>143.5</v>
      </c>
      <c r="I23" s="36"/>
      <c r="J23" s="36">
        <f>(134+152)/2</f>
        <v>143</v>
      </c>
      <c r="K23" s="36"/>
      <c r="L23" s="36">
        <f>(121+145)/2</f>
        <v>133</v>
      </c>
      <c r="M23" s="36"/>
      <c r="N23" s="36">
        <f>(102+144)/2</f>
        <v>123</v>
      </c>
      <c r="O23" s="36"/>
      <c r="P23" s="36">
        <f>(80+124)/2</f>
        <v>102</v>
      </c>
      <c r="Q23" s="36"/>
      <c r="R23" s="36">
        <f>(105+105)/2</f>
        <v>105</v>
      </c>
      <c r="S23" s="14"/>
      <c r="T23" s="36">
        <f>(117+136)/2</f>
        <v>126.5</v>
      </c>
      <c r="U23" s="36"/>
      <c r="V23" s="36">
        <f>(114+137)/2</f>
        <v>125.5</v>
      </c>
      <c r="W23" s="36"/>
      <c r="X23" s="36">
        <f>(115+136)/2</f>
        <v>125.5</v>
      </c>
      <c r="Y23" s="36"/>
      <c r="Z23" s="36">
        <f>(100+129)/2</f>
        <v>114.5</v>
      </c>
      <c r="AA23" s="36"/>
      <c r="AB23" s="36">
        <f>(100+129)/2</f>
        <v>114.5</v>
      </c>
      <c r="AC23" s="36"/>
      <c r="AD23" s="36">
        <f>(86+97)/2</f>
        <v>91.5</v>
      </c>
      <c r="AE23" s="36"/>
      <c r="AF23" s="36">
        <f>(40+40)/2</f>
        <v>40</v>
      </c>
      <c r="AG23" s="26">
        <v>38631</v>
      </c>
      <c r="AH23" t="s">
        <v>38</v>
      </c>
      <c r="AI23" s="66">
        <f t="shared" si="0"/>
        <v>1004</v>
      </c>
      <c r="AJ23" s="15"/>
      <c r="AK23" s="44">
        <v>38</v>
      </c>
      <c r="AM23">
        <v>146</v>
      </c>
      <c r="AN23" s="44"/>
      <c r="AO23" s="58">
        <v>223</v>
      </c>
      <c r="AP23" s="44"/>
      <c r="AQ23" s="44">
        <v>139</v>
      </c>
      <c r="AR23" s="44"/>
      <c r="AS23" s="44">
        <v>35</v>
      </c>
      <c r="AU23" s="44">
        <v>5</v>
      </c>
      <c r="AW23" s="44">
        <v>1</v>
      </c>
      <c r="AX23" s="14"/>
      <c r="AY23" s="44">
        <v>29</v>
      </c>
      <c r="AZ23" s="44"/>
      <c r="BA23" s="44">
        <v>134</v>
      </c>
      <c r="BB23" s="44"/>
      <c r="BC23" s="58">
        <v>175</v>
      </c>
      <c r="BD23" s="44"/>
      <c r="BE23" s="44">
        <v>60</v>
      </c>
      <c r="BF23" s="44"/>
      <c r="BG23" s="44">
        <v>15</v>
      </c>
      <c r="BH23" s="44"/>
      <c r="BI23" s="44">
        <v>3</v>
      </c>
      <c r="BK23" s="44">
        <v>1</v>
      </c>
    </row>
    <row r="24" spans="1:63" ht="12.75">
      <c r="A24">
        <v>19</v>
      </c>
      <c r="B24" s="26">
        <v>38632</v>
      </c>
      <c r="C24" t="s">
        <v>18</v>
      </c>
      <c r="D24" s="18">
        <v>1556</v>
      </c>
      <c r="E24" s="15"/>
      <c r="F24" s="36">
        <f>(133+160)/2</f>
        <v>146.5</v>
      </c>
      <c r="G24" s="37"/>
      <c r="H24" s="36">
        <f>(130+154)/2</f>
        <v>142</v>
      </c>
      <c r="I24" s="36"/>
      <c r="J24" s="36">
        <f>(132+148)/2</f>
        <v>140</v>
      </c>
      <c r="K24" s="36"/>
      <c r="L24" s="36">
        <f>(126+144)/2</f>
        <v>135</v>
      </c>
      <c r="M24" s="36"/>
      <c r="N24" s="36">
        <f>(124+139)/2</f>
        <v>131.5</v>
      </c>
      <c r="O24" s="36"/>
      <c r="P24" s="36">
        <f>(110+132)/2</f>
        <v>121</v>
      </c>
      <c r="Q24" s="36"/>
      <c r="R24" s="36">
        <f>(60+114)/2</f>
        <v>87</v>
      </c>
      <c r="S24" s="14"/>
      <c r="T24" s="36">
        <f>(100+131)/2</f>
        <v>115.5</v>
      </c>
      <c r="U24" s="36"/>
      <c r="V24" s="36">
        <f>(109+134)/2</f>
        <v>121.5</v>
      </c>
      <c r="W24" s="36"/>
      <c r="X24" s="36">
        <f>(107+130)/2</f>
        <v>118.5</v>
      </c>
      <c r="Y24" s="36"/>
      <c r="Z24" s="36">
        <f>(105+126)/2</f>
        <v>115.5</v>
      </c>
      <c r="AA24" s="36"/>
      <c r="AB24" s="36">
        <f>(100+122)/2</f>
        <v>111</v>
      </c>
      <c r="AC24" s="36"/>
      <c r="AD24" s="36">
        <f>(96+115)/2</f>
        <v>105.5</v>
      </c>
      <c r="AE24" s="36"/>
      <c r="AF24" s="36">
        <f>(80+90)/2</f>
        <v>85</v>
      </c>
      <c r="AG24" s="26">
        <v>38632</v>
      </c>
      <c r="AH24" t="s">
        <v>18</v>
      </c>
      <c r="AI24" s="66">
        <f t="shared" si="0"/>
        <v>1542</v>
      </c>
      <c r="AJ24" s="15"/>
      <c r="AK24" s="44">
        <v>44</v>
      </c>
      <c r="AM24" s="51">
        <v>188</v>
      </c>
      <c r="AN24" s="44"/>
      <c r="AO24" s="58">
        <v>255</v>
      </c>
      <c r="AP24" s="44"/>
      <c r="AQ24" s="44">
        <v>231</v>
      </c>
      <c r="AR24" s="44"/>
      <c r="AS24" s="44">
        <v>134</v>
      </c>
      <c r="AT24" s="44"/>
      <c r="AU24" s="44">
        <v>49</v>
      </c>
      <c r="AW24" s="44">
        <v>4</v>
      </c>
      <c r="AX24" s="14"/>
      <c r="AY24" s="44">
        <v>52</v>
      </c>
      <c r="AZ24" s="44"/>
      <c r="BA24" s="44">
        <v>128</v>
      </c>
      <c r="BB24" s="44"/>
      <c r="BC24" s="58">
        <v>203</v>
      </c>
      <c r="BD24" s="44"/>
      <c r="BE24" s="44">
        <v>146</v>
      </c>
      <c r="BF24" s="44"/>
      <c r="BG24" s="44">
        <v>71</v>
      </c>
      <c r="BH24" s="44"/>
      <c r="BI24" s="44">
        <v>27</v>
      </c>
      <c r="BK24" s="44">
        <v>10</v>
      </c>
    </row>
    <row r="25" spans="1:63" ht="12.75">
      <c r="A25">
        <v>20</v>
      </c>
      <c r="B25" s="26">
        <v>38637</v>
      </c>
      <c r="C25" t="s">
        <v>46</v>
      </c>
      <c r="D25" s="18">
        <v>909</v>
      </c>
      <c r="E25" s="15"/>
      <c r="F25" s="36">
        <f>(132+164)/2</f>
        <v>148</v>
      </c>
      <c r="G25" s="37"/>
      <c r="H25" s="36">
        <f>(137+160)/2</f>
        <v>148.5</v>
      </c>
      <c r="I25" s="36"/>
      <c r="J25" s="36">
        <f>(128+157)/2</f>
        <v>142.5</v>
      </c>
      <c r="K25" s="36"/>
      <c r="L25" s="36">
        <f>(128+154)/2</f>
        <v>141</v>
      </c>
      <c r="M25" s="36"/>
      <c r="N25" s="36">
        <f>(120+139)/2</f>
        <v>129.5</v>
      </c>
      <c r="O25" s="36"/>
      <c r="P25" s="36">
        <f>(115+127)/2</f>
        <v>121</v>
      </c>
      <c r="Q25" s="36"/>
      <c r="R25" s="36">
        <f>(105+114)/2</f>
        <v>109.5</v>
      </c>
      <c r="S25" s="14"/>
      <c r="T25" s="36">
        <f>(100+131)/2</f>
        <v>115.5</v>
      </c>
      <c r="U25" s="36"/>
      <c r="V25" s="36">
        <f>(120+142)/2</f>
        <v>131</v>
      </c>
      <c r="W25" s="36"/>
      <c r="X25" s="36">
        <f>(120+139)/2</f>
        <v>129.5</v>
      </c>
      <c r="Y25" s="36"/>
      <c r="Z25" s="36">
        <f>(100+134)/2</f>
        <v>117</v>
      </c>
      <c r="AA25" s="36"/>
      <c r="AB25" s="36">
        <f>(104+117)/2</f>
        <v>110.5</v>
      </c>
      <c r="AC25" s="36"/>
      <c r="AD25" s="36">
        <f>(105+105)/2</f>
        <v>105</v>
      </c>
      <c r="AE25" s="36"/>
      <c r="AF25" s="36">
        <v>0</v>
      </c>
      <c r="AG25" s="26">
        <v>38637</v>
      </c>
      <c r="AH25" t="s">
        <v>46</v>
      </c>
      <c r="AI25" s="66" t="s">
        <v>59</v>
      </c>
      <c r="AJ25" s="15"/>
      <c r="AK25" s="44">
        <v>49</v>
      </c>
      <c r="AM25" s="51">
        <v>123</v>
      </c>
      <c r="AN25" s="44"/>
      <c r="AO25" s="58">
        <v>191</v>
      </c>
      <c r="AP25" s="44"/>
      <c r="AQ25" s="44">
        <v>130</v>
      </c>
      <c r="AR25" s="44"/>
      <c r="AS25" s="44">
        <v>30</v>
      </c>
      <c r="AT25" s="44"/>
      <c r="AU25" s="44">
        <v>6</v>
      </c>
      <c r="AW25" s="44">
        <v>2</v>
      </c>
      <c r="AX25" s="14"/>
      <c r="AY25" s="44">
        <v>32</v>
      </c>
      <c r="AZ25" s="44"/>
      <c r="BA25" s="44">
        <v>130</v>
      </c>
      <c r="BB25" s="44"/>
      <c r="BC25" s="58">
        <v>137</v>
      </c>
      <c r="BD25" s="44"/>
      <c r="BE25" s="44">
        <v>58</v>
      </c>
      <c r="BF25" s="44"/>
      <c r="BG25" s="44">
        <v>11</v>
      </c>
      <c r="BH25" s="44"/>
      <c r="BI25" s="44">
        <v>1</v>
      </c>
      <c r="BK25" s="44">
        <v>0</v>
      </c>
    </row>
    <row r="26" spans="1:63" ht="12.75">
      <c r="A26">
        <v>21</v>
      </c>
      <c r="B26" s="26">
        <v>38638</v>
      </c>
      <c r="C26" t="s">
        <v>38</v>
      </c>
      <c r="D26" s="18">
        <v>1304</v>
      </c>
      <c r="E26" s="15"/>
      <c r="F26" s="36">
        <f>(124+165)/2</f>
        <v>144.5</v>
      </c>
      <c r="G26" s="37"/>
      <c r="H26" s="36">
        <f>(125+158)/2</f>
        <v>141.5</v>
      </c>
      <c r="I26" s="36"/>
      <c r="J26" s="36">
        <f>(127+154)/2</f>
        <v>140.5</v>
      </c>
      <c r="K26" s="36"/>
      <c r="L26" s="36">
        <f>(116+147)/2</f>
        <v>131.5</v>
      </c>
      <c r="M26" s="36"/>
      <c r="N26" s="36">
        <f>(112+136)/2</f>
        <v>124</v>
      </c>
      <c r="O26" s="36"/>
      <c r="P26" s="36">
        <f>(100+125)/2</f>
        <v>112.5</v>
      </c>
      <c r="Q26" s="36"/>
      <c r="R26" s="36">
        <f>(40+97)/2</f>
        <v>68.5</v>
      </c>
      <c r="S26" s="14"/>
      <c r="T26" s="36">
        <f>(105+137)/2</f>
        <v>121</v>
      </c>
      <c r="U26" s="36"/>
      <c r="V26" s="36">
        <f>(108+139)/2</f>
        <v>123.5</v>
      </c>
      <c r="W26" s="36"/>
      <c r="X26" s="36">
        <f>(110+137)/2</f>
        <v>123.5</v>
      </c>
      <c r="Y26" s="36"/>
      <c r="Z26" s="36">
        <f>(100+132)/2</f>
        <v>116</v>
      </c>
      <c r="AA26" s="36"/>
      <c r="AB26" s="36">
        <f>(89+117)/2</f>
        <v>103</v>
      </c>
      <c r="AC26" s="36"/>
      <c r="AD26" s="36">
        <f>(60+94)/2</f>
        <v>77</v>
      </c>
      <c r="AE26" s="36"/>
      <c r="AF26" s="36">
        <f>(47+76)/2</f>
        <v>61.5</v>
      </c>
      <c r="AG26" s="26">
        <v>38638</v>
      </c>
      <c r="AH26" t="s">
        <v>38</v>
      </c>
      <c r="AI26" s="66">
        <f t="shared" si="0"/>
        <v>1287</v>
      </c>
      <c r="AJ26" s="15"/>
      <c r="AK26" s="44">
        <v>65</v>
      </c>
      <c r="AM26" s="51">
        <v>197</v>
      </c>
      <c r="AN26" s="44"/>
      <c r="AO26" s="58">
        <v>259</v>
      </c>
      <c r="AP26" s="44"/>
      <c r="AQ26" s="44">
        <v>157</v>
      </c>
      <c r="AR26" s="44"/>
      <c r="AS26" s="44">
        <v>42</v>
      </c>
      <c r="AT26" s="44"/>
      <c r="AU26" s="44">
        <v>26</v>
      </c>
      <c r="AW26" s="44">
        <v>3</v>
      </c>
      <c r="AX26" s="14"/>
      <c r="AY26" s="44">
        <v>77</v>
      </c>
      <c r="AZ26" s="44"/>
      <c r="BA26" s="44">
        <v>182</v>
      </c>
      <c r="BB26" s="44"/>
      <c r="BC26" s="58">
        <v>166</v>
      </c>
      <c r="BD26" s="44"/>
      <c r="BE26" s="44">
        <v>82</v>
      </c>
      <c r="BF26" s="44"/>
      <c r="BG26" s="44">
        <v>16</v>
      </c>
      <c r="BH26" s="44"/>
      <c r="BI26" s="44">
        <v>11</v>
      </c>
      <c r="BK26" s="44">
        <v>4</v>
      </c>
    </row>
    <row r="27" spans="1:63" ht="12.75">
      <c r="A27">
        <v>22</v>
      </c>
      <c r="B27" s="26">
        <v>38639</v>
      </c>
      <c r="C27" t="s">
        <v>18</v>
      </c>
      <c r="D27" s="18">
        <v>1638</v>
      </c>
      <c r="E27" s="15"/>
      <c r="F27" s="36">
        <f>(120+157)/2</f>
        <v>138.5</v>
      </c>
      <c r="G27" s="37"/>
      <c r="H27" s="36">
        <f>(131+157)/2</f>
        <v>144</v>
      </c>
      <c r="I27" s="36"/>
      <c r="J27" s="36">
        <f>(130+149)/2</f>
        <v>139.5</v>
      </c>
      <c r="K27" s="36"/>
      <c r="L27" s="36">
        <f>(120+144)/2</f>
        <v>132</v>
      </c>
      <c r="M27" s="36"/>
      <c r="N27" s="36">
        <f>(110+137)/2</f>
        <v>123.5</v>
      </c>
      <c r="O27" s="36"/>
      <c r="P27" s="36">
        <f>(90+125)/2</f>
        <v>107.5</v>
      </c>
      <c r="Q27" s="36"/>
      <c r="R27" s="36">
        <f>(35+108)/2</f>
        <v>71.5</v>
      </c>
      <c r="S27" s="14"/>
      <c r="T27" s="36">
        <f>(81+135)/2</f>
        <v>108</v>
      </c>
      <c r="U27" s="36"/>
      <c r="V27" s="36">
        <f>(115+136)/2</f>
        <v>125.5</v>
      </c>
      <c r="W27" s="36"/>
      <c r="X27" s="36">
        <f>(110+133)/2</f>
        <v>121.5</v>
      </c>
      <c r="Y27" s="36"/>
      <c r="Z27" s="36">
        <f>(110+124)/2</f>
        <v>117</v>
      </c>
      <c r="AA27" s="36"/>
      <c r="AB27" s="36">
        <f>(90+120)/2</f>
        <v>105</v>
      </c>
      <c r="AC27" s="36"/>
      <c r="AD27" s="36">
        <f>(74+104)/2</f>
        <v>89</v>
      </c>
      <c r="AE27" s="36"/>
      <c r="AF27" s="36">
        <f>(88+104)/2</f>
        <v>96</v>
      </c>
      <c r="AG27" s="26">
        <v>38639</v>
      </c>
      <c r="AH27" t="s">
        <v>18</v>
      </c>
      <c r="AI27" s="66">
        <f t="shared" si="0"/>
        <v>1618</v>
      </c>
      <c r="AJ27" s="15"/>
      <c r="AK27" s="44">
        <v>53</v>
      </c>
      <c r="AM27" s="51">
        <v>146</v>
      </c>
      <c r="AN27" s="44"/>
      <c r="AO27" s="58">
        <v>252</v>
      </c>
      <c r="AP27" s="44"/>
      <c r="AQ27" s="44">
        <v>220</v>
      </c>
      <c r="AR27" s="44"/>
      <c r="AS27" s="44">
        <v>111</v>
      </c>
      <c r="AT27" s="44"/>
      <c r="AU27" s="44">
        <v>35</v>
      </c>
      <c r="AW27" s="44">
        <v>3</v>
      </c>
      <c r="AX27" s="14"/>
      <c r="AY27" s="44">
        <v>58</v>
      </c>
      <c r="AZ27" s="44"/>
      <c r="BA27" s="44">
        <v>162</v>
      </c>
      <c r="BB27" s="44"/>
      <c r="BC27" s="58">
        <v>279</v>
      </c>
      <c r="BD27" s="44"/>
      <c r="BE27" s="44">
        <v>176</v>
      </c>
      <c r="BF27" s="44"/>
      <c r="BG27" s="44">
        <v>84</v>
      </c>
      <c r="BH27" s="44"/>
      <c r="BI27" s="44">
        <v>28</v>
      </c>
      <c r="BK27" s="44">
        <v>11</v>
      </c>
    </row>
    <row r="28" spans="1:63" ht="12.75">
      <c r="A28">
        <v>23</v>
      </c>
      <c r="B28" s="26">
        <v>38640</v>
      </c>
      <c r="C28" t="s">
        <v>47</v>
      </c>
      <c r="D28" s="18">
        <v>1144</v>
      </c>
      <c r="E28" s="15"/>
      <c r="F28" s="36">
        <f>(130+152)/2</f>
        <v>141</v>
      </c>
      <c r="G28" s="37"/>
      <c r="H28" s="36">
        <f>(130+152)/2</f>
        <v>141</v>
      </c>
      <c r="I28" s="36"/>
      <c r="J28" s="36">
        <f>(129+145)/2</f>
        <v>137</v>
      </c>
      <c r="K28" s="36"/>
      <c r="L28" s="36">
        <f>(125+136)/2</f>
        <v>130.5</v>
      </c>
      <c r="M28" s="36"/>
      <c r="N28" s="36">
        <f>(114+137)/2</f>
        <v>125.5</v>
      </c>
      <c r="O28" s="36"/>
      <c r="P28" s="36">
        <f>(110+127)/2</f>
        <v>118.5</v>
      </c>
      <c r="Q28" s="36"/>
      <c r="R28" s="36">
        <f>(77+116)/2</f>
        <v>96.5</v>
      </c>
      <c r="S28" s="14"/>
      <c r="T28" s="36">
        <f>(80+130)/2</f>
        <v>105</v>
      </c>
      <c r="U28" s="36"/>
      <c r="V28" s="36">
        <f>(110+134)/2</f>
        <v>122</v>
      </c>
      <c r="W28" s="36"/>
      <c r="X28" s="36">
        <f>(109+124)/2</f>
        <v>116.5</v>
      </c>
      <c r="Y28" s="36"/>
      <c r="Z28" s="36">
        <f>(108+118)/2</f>
        <v>113</v>
      </c>
      <c r="AA28" s="36"/>
      <c r="AB28" s="36">
        <f>(110+117)/2</f>
        <v>113.5</v>
      </c>
      <c r="AC28" s="36"/>
      <c r="AD28" s="36">
        <f>(40+112)/2</f>
        <v>76</v>
      </c>
      <c r="AE28" s="36"/>
      <c r="AF28" s="36">
        <f>(54+70)/2</f>
        <v>62</v>
      </c>
      <c r="AG28" s="26">
        <v>38640</v>
      </c>
      <c r="AH28" t="s">
        <v>47</v>
      </c>
      <c r="AI28" s="66">
        <f t="shared" si="0"/>
        <v>1137</v>
      </c>
      <c r="AJ28" s="15"/>
      <c r="AK28" s="44">
        <v>18</v>
      </c>
      <c r="AM28" s="51">
        <v>88</v>
      </c>
      <c r="AN28" s="44"/>
      <c r="AO28" s="58">
        <v>235</v>
      </c>
      <c r="AP28" s="44"/>
      <c r="AQ28" s="44">
        <v>210</v>
      </c>
      <c r="AR28" s="44"/>
      <c r="AS28" s="44">
        <v>70</v>
      </c>
      <c r="AT28" s="44"/>
      <c r="AU28" s="44">
        <v>16</v>
      </c>
      <c r="AW28" s="44">
        <v>9</v>
      </c>
      <c r="AX28" s="14"/>
      <c r="AY28" s="44">
        <v>21</v>
      </c>
      <c r="AZ28" s="44"/>
      <c r="BA28" s="44">
        <v>96</v>
      </c>
      <c r="BB28" s="44"/>
      <c r="BC28" s="58">
        <v>172</v>
      </c>
      <c r="BD28" s="44"/>
      <c r="BE28" s="44">
        <v>151</v>
      </c>
      <c r="BF28" s="44"/>
      <c r="BG28" s="44">
        <v>36</v>
      </c>
      <c r="BH28" s="44"/>
      <c r="BI28" s="44">
        <v>7</v>
      </c>
      <c r="BJ28" s="44"/>
      <c r="BK28" s="44">
        <v>8</v>
      </c>
    </row>
    <row r="29" spans="1:63" ht="12.75">
      <c r="A29">
        <v>24</v>
      </c>
      <c r="B29" s="26">
        <v>38645</v>
      </c>
      <c r="C29" t="s">
        <v>38</v>
      </c>
      <c r="D29" s="18">
        <v>1521</v>
      </c>
      <c r="E29" s="15"/>
      <c r="F29" s="36">
        <f>(110+154)/2</f>
        <v>132</v>
      </c>
      <c r="G29" s="37"/>
      <c r="H29" s="36">
        <f>(124+156)/2</f>
        <v>140</v>
      </c>
      <c r="I29" s="36"/>
      <c r="J29" s="36">
        <f>(126+151)/2</f>
        <v>138.5</v>
      </c>
      <c r="K29" s="36"/>
      <c r="L29" s="36">
        <f>(123+139)/2</f>
        <v>131</v>
      </c>
      <c r="M29" s="36"/>
      <c r="N29" s="36">
        <f>(116+129)/2</f>
        <v>122.5</v>
      </c>
      <c r="O29" s="36"/>
      <c r="P29" s="36">
        <f>(118+125)/2</f>
        <v>121.5</v>
      </c>
      <c r="Q29" s="36"/>
      <c r="R29" s="36">
        <f>(40+115)/2</f>
        <v>77.5</v>
      </c>
      <c r="S29" s="14"/>
      <c r="T29" s="36">
        <f>(84+132)/2</f>
        <v>108</v>
      </c>
      <c r="U29" s="36"/>
      <c r="V29" s="36">
        <f>(110+135)/2</f>
        <v>122.5</v>
      </c>
      <c r="W29" s="36"/>
      <c r="X29" s="36">
        <f>(107+129)/2</f>
        <v>118</v>
      </c>
      <c r="Y29" s="36"/>
      <c r="Z29" s="36">
        <f>(107+125)/2</f>
        <v>116</v>
      </c>
      <c r="AA29" s="36"/>
      <c r="AB29" s="36">
        <f>(105+116)/2</f>
        <v>110.5</v>
      </c>
      <c r="AC29" s="36"/>
      <c r="AD29" s="36">
        <f>(70+110)/2</f>
        <v>90</v>
      </c>
      <c r="AE29" s="36"/>
      <c r="AF29" s="36">
        <v>0</v>
      </c>
      <c r="AG29" s="26">
        <v>38645</v>
      </c>
      <c r="AH29" t="s">
        <v>38</v>
      </c>
      <c r="AI29" s="66">
        <f t="shared" si="0"/>
        <v>1505</v>
      </c>
      <c r="AJ29" s="15"/>
      <c r="AK29" s="44">
        <v>68</v>
      </c>
      <c r="AM29" s="51">
        <v>205</v>
      </c>
      <c r="AN29" s="44"/>
      <c r="AO29" s="58">
        <v>326</v>
      </c>
      <c r="AP29" s="44"/>
      <c r="AQ29" s="44">
        <v>178</v>
      </c>
      <c r="AR29" s="44"/>
      <c r="AS29" s="44">
        <v>60</v>
      </c>
      <c r="AT29" s="44"/>
      <c r="AU29" s="44">
        <v>29</v>
      </c>
      <c r="AW29" s="44">
        <v>7</v>
      </c>
      <c r="AX29" s="14"/>
      <c r="AY29" s="44">
        <v>36</v>
      </c>
      <c r="AZ29" s="44"/>
      <c r="BA29" s="44">
        <v>199</v>
      </c>
      <c r="BB29" s="44"/>
      <c r="BC29" s="58">
        <v>263</v>
      </c>
      <c r="BD29" s="44"/>
      <c r="BE29" s="44">
        <v>105</v>
      </c>
      <c r="BF29" s="44"/>
      <c r="BG29" s="44">
        <v>24</v>
      </c>
      <c r="BH29" s="44"/>
      <c r="BI29" s="44">
        <v>5</v>
      </c>
      <c r="BJ29" s="44"/>
      <c r="BK29" s="44">
        <v>0</v>
      </c>
    </row>
    <row r="30" spans="1:63" ht="12.75">
      <c r="A30">
        <v>25</v>
      </c>
      <c r="B30" s="26">
        <v>38646</v>
      </c>
      <c r="C30" t="s">
        <v>18</v>
      </c>
      <c r="D30" s="18">
        <v>1700</v>
      </c>
      <c r="E30" s="15"/>
      <c r="F30" s="36">
        <f>(100+152)/2</f>
        <v>126</v>
      </c>
      <c r="G30" s="37"/>
      <c r="H30" s="36">
        <f>(130+158)/2</f>
        <v>144</v>
      </c>
      <c r="I30" s="36"/>
      <c r="J30" s="36">
        <f>(129+152)/2</f>
        <v>140.5</v>
      </c>
      <c r="K30" s="36"/>
      <c r="L30" s="36">
        <f>(125+144)/2</f>
        <v>134.5</v>
      </c>
      <c r="M30" s="36"/>
      <c r="N30" s="36">
        <f>(115+131)/2</f>
        <v>123</v>
      </c>
      <c r="O30" s="36"/>
      <c r="P30" s="36">
        <f>(115+122)/2</f>
        <v>118.5</v>
      </c>
      <c r="Q30" s="36"/>
      <c r="R30" s="36">
        <f>(104+112)/2</f>
        <v>108</v>
      </c>
      <c r="S30" s="14"/>
      <c r="T30" s="36">
        <f>(88+134)/2</f>
        <v>111</v>
      </c>
      <c r="U30" s="36"/>
      <c r="V30" s="36">
        <f>(100+135)/2</f>
        <v>117.5</v>
      </c>
      <c r="W30" s="36"/>
      <c r="X30" s="36">
        <f>(100+125)/2</f>
        <v>112.5</v>
      </c>
      <c r="Y30" s="36"/>
      <c r="Z30" s="36">
        <f>(102+119)/2</f>
        <v>110.5</v>
      </c>
      <c r="AA30" s="36"/>
      <c r="AB30" s="36">
        <f>(96+117)/2</f>
        <v>106.5</v>
      </c>
      <c r="AC30" s="36"/>
      <c r="AD30" s="36">
        <f>(70+110)/2</f>
        <v>90</v>
      </c>
      <c r="AE30" s="36"/>
      <c r="AF30" s="36">
        <f>(70+94)/2</f>
        <v>82</v>
      </c>
      <c r="AG30" s="26">
        <v>38646</v>
      </c>
      <c r="AH30" t="s">
        <v>18</v>
      </c>
      <c r="AI30" s="66">
        <f t="shared" si="0"/>
        <v>1688</v>
      </c>
      <c r="AJ30" s="15"/>
      <c r="AK30" s="44">
        <v>53</v>
      </c>
      <c r="AM30" s="51">
        <v>194</v>
      </c>
      <c r="AN30" s="44"/>
      <c r="AO30" s="58">
        <v>268</v>
      </c>
      <c r="AP30" s="44"/>
      <c r="AQ30" s="44">
        <v>252</v>
      </c>
      <c r="AR30" s="44"/>
      <c r="AS30" s="44">
        <v>134</v>
      </c>
      <c r="AT30" s="44"/>
      <c r="AU30" s="44">
        <v>21</v>
      </c>
      <c r="AW30" s="44">
        <v>6</v>
      </c>
      <c r="AX30" s="14"/>
      <c r="AY30" s="44">
        <v>57</v>
      </c>
      <c r="AZ30" s="44"/>
      <c r="BA30" s="44">
        <v>220</v>
      </c>
      <c r="BC30" s="58">
        <v>241</v>
      </c>
      <c r="BD30" s="44"/>
      <c r="BE30" s="44">
        <v>174</v>
      </c>
      <c r="BF30" s="44"/>
      <c r="BG30" s="44">
        <v>53</v>
      </c>
      <c r="BH30" s="44"/>
      <c r="BI30" s="44">
        <v>13</v>
      </c>
      <c r="BJ30" s="44"/>
      <c r="BK30" s="44">
        <v>2</v>
      </c>
    </row>
    <row r="31" spans="1:63" ht="12.75">
      <c r="A31">
        <v>26</v>
      </c>
      <c r="B31" s="26">
        <v>38647</v>
      </c>
      <c r="C31" t="s">
        <v>63</v>
      </c>
      <c r="D31" s="18">
        <v>247</v>
      </c>
      <c r="E31" s="15"/>
      <c r="F31" s="36">
        <f>(92+142)/2</f>
        <v>117</v>
      </c>
      <c r="G31" s="37"/>
      <c r="H31" s="36">
        <f>(110+153)/2</f>
        <v>131.5</v>
      </c>
      <c r="I31" s="36"/>
      <c r="J31" s="36">
        <f>(92+153)/2</f>
        <v>122.5</v>
      </c>
      <c r="K31" s="36"/>
      <c r="L31" s="36">
        <f>(109+134)/2</f>
        <v>121.5</v>
      </c>
      <c r="M31" s="36"/>
      <c r="N31" s="36">
        <f>(105+130)/2</f>
        <v>117.5</v>
      </c>
      <c r="O31" s="36"/>
      <c r="P31" s="36">
        <f>(112+112)/2</f>
        <v>112</v>
      </c>
      <c r="Q31" s="36"/>
      <c r="R31" s="36">
        <v>0</v>
      </c>
      <c r="S31" s="14"/>
      <c r="T31" s="36">
        <f>(82+110)/2</f>
        <v>96</v>
      </c>
      <c r="U31" s="36"/>
      <c r="V31" s="36">
        <f>(92+123)/2</f>
        <v>107.5</v>
      </c>
      <c r="W31" s="36"/>
      <c r="X31" s="36">
        <f>(106+124)/2</f>
        <v>115</v>
      </c>
      <c r="Y31" s="36"/>
      <c r="Z31" s="36">
        <f>(113+119)/2</f>
        <v>116</v>
      </c>
      <c r="AA31" s="36"/>
      <c r="AB31" s="36">
        <f>(98+112)/2</f>
        <v>105</v>
      </c>
      <c r="AC31" s="36"/>
      <c r="AD31" s="36">
        <v>0</v>
      </c>
      <c r="AE31" s="36"/>
      <c r="AF31" s="36">
        <v>0</v>
      </c>
      <c r="AG31" s="26">
        <v>38647</v>
      </c>
      <c r="AH31" t="s">
        <v>63</v>
      </c>
      <c r="AI31" s="66">
        <f t="shared" si="0"/>
        <v>246</v>
      </c>
      <c r="AJ31" s="15"/>
      <c r="AK31" s="44">
        <v>9</v>
      </c>
      <c r="AM31" s="51">
        <v>40</v>
      </c>
      <c r="AN31" s="44"/>
      <c r="AO31" s="58">
        <v>43</v>
      </c>
      <c r="AP31" s="44"/>
      <c r="AQ31" s="44">
        <v>29</v>
      </c>
      <c r="AR31" s="44"/>
      <c r="AS31" s="44">
        <v>5</v>
      </c>
      <c r="AT31" s="44"/>
      <c r="AU31" s="44">
        <v>1</v>
      </c>
      <c r="AW31" s="44">
        <v>0</v>
      </c>
      <c r="AX31" s="14"/>
      <c r="AY31" s="44">
        <v>10</v>
      </c>
      <c r="AZ31" s="44"/>
      <c r="BA31" s="58">
        <v>53</v>
      </c>
      <c r="BB31" s="44"/>
      <c r="BC31" s="44">
        <v>33</v>
      </c>
      <c r="BD31" s="44"/>
      <c r="BE31" s="44">
        <v>19</v>
      </c>
      <c r="BF31" s="44"/>
      <c r="BG31" s="44">
        <v>4</v>
      </c>
      <c r="BH31" s="44"/>
      <c r="BI31" s="44">
        <v>0</v>
      </c>
      <c r="BJ31" s="44"/>
      <c r="BK31" s="44">
        <v>0</v>
      </c>
    </row>
    <row r="32" spans="1:63" ht="12.75">
      <c r="A32">
        <v>27</v>
      </c>
      <c r="B32" s="26">
        <v>38651</v>
      </c>
      <c r="C32" t="s">
        <v>46</v>
      </c>
      <c r="D32" s="18">
        <v>1521</v>
      </c>
      <c r="E32" s="15"/>
      <c r="F32" s="36">
        <f>(94+146)/2</f>
        <v>120</v>
      </c>
      <c r="G32" s="37"/>
      <c r="H32" s="36">
        <f>(119+162)/2</f>
        <v>140.5</v>
      </c>
      <c r="I32" s="36"/>
      <c r="J32" s="36">
        <f>(116+140)/2</f>
        <v>128</v>
      </c>
      <c r="K32" s="36"/>
      <c r="L32" s="36">
        <f>(114+141)/2</f>
        <v>127.5</v>
      </c>
      <c r="M32" s="36"/>
      <c r="N32" s="36">
        <f>(114+129)/2</f>
        <v>121.5</v>
      </c>
      <c r="O32" s="36"/>
      <c r="P32" s="36">
        <f>(115+122)/2</f>
        <v>118.5</v>
      </c>
      <c r="Q32" s="36"/>
      <c r="R32" s="36">
        <v>0</v>
      </c>
      <c r="S32" s="14"/>
      <c r="T32" s="36">
        <f>(80+137)/2</f>
        <v>108.5</v>
      </c>
      <c r="U32" s="36"/>
      <c r="V32" s="36">
        <f>(100+136)/2</f>
        <v>118</v>
      </c>
      <c r="W32" s="36"/>
      <c r="X32" s="36">
        <f>(105+129)/2</f>
        <v>117</v>
      </c>
      <c r="Y32" s="36"/>
      <c r="Z32" s="36">
        <f>(100+125)/2</f>
        <v>112.5</v>
      </c>
      <c r="AA32" s="36"/>
      <c r="AB32" s="36">
        <f>(100+114)/2</f>
        <v>107</v>
      </c>
      <c r="AC32" s="36"/>
      <c r="AD32" s="36">
        <f>(108+110)/2</f>
        <v>109</v>
      </c>
      <c r="AE32" s="36"/>
      <c r="AF32" s="36">
        <f>(96+130)/2</f>
        <v>113</v>
      </c>
      <c r="AG32" s="26">
        <v>38651</v>
      </c>
      <c r="AH32" t="s">
        <v>46</v>
      </c>
      <c r="AI32" s="66">
        <f t="shared" si="0"/>
        <v>1512</v>
      </c>
      <c r="AJ32" s="15"/>
      <c r="AK32" s="44">
        <v>42</v>
      </c>
      <c r="AM32" s="51">
        <v>232</v>
      </c>
      <c r="AN32" s="44"/>
      <c r="AO32" s="58">
        <v>273</v>
      </c>
      <c r="AP32" s="44"/>
      <c r="AQ32" s="44">
        <v>167</v>
      </c>
      <c r="AR32" s="44"/>
      <c r="AS32" s="44">
        <v>64</v>
      </c>
      <c r="AT32" s="44"/>
      <c r="AU32" s="44">
        <v>11</v>
      </c>
      <c r="AW32" s="44">
        <v>0</v>
      </c>
      <c r="AX32" s="14"/>
      <c r="AY32" s="44">
        <v>72</v>
      </c>
      <c r="AZ32" s="44"/>
      <c r="BA32" s="44">
        <v>230</v>
      </c>
      <c r="BB32" s="44"/>
      <c r="BC32" s="58">
        <v>233</v>
      </c>
      <c r="BD32" s="44"/>
      <c r="BE32" s="44">
        <v>142</v>
      </c>
      <c r="BF32" s="44"/>
      <c r="BG32" s="44">
        <v>40</v>
      </c>
      <c r="BH32" s="44"/>
      <c r="BI32" s="44">
        <v>4</v>
      </c>
      <c r="BJ32" s="44"/>
      <c r="BK32" s="44">
        <v>2</v>
      </c>
    </row>
    <row r="33" spans="1:63" ht="12.75">
      <c r="A33">
        <v>28</v>
      </c>
      <c r="B33" s="26">
        <v>38652</v>
      </c>
      <c r="C33" t="s">
        <v>38</v>
      </c>
      <c r="D33" s="18">
        <v>1453</v>
      </c>
      <c r="E33" s="15"/>
      <c r="F33" s="36">
        <f>(100+149)/2</f>
        <v>124.5</v>
      </c>
      <c r="G33" s="37"/>
      <c r="H33" s="36">
        <f>(120+157)/2</f>
        <v>138.5</v>
      </c>
      <c r="I33" s="36"/>
      <c r="J33" s="36">
        <f>(118+144)/2</f>
        <v>131</v>
      </c>
      <c r="K33" s="36"/>
      <c r="L33" s="36">
        <f>(120+140)/2</f>
        <v>130</v>
      </c>
      <c r="M33" s="36"/>
      <c r="N33" s="36">
        <f>(107+130)/2</f>
        <v>118.5</v>
      </c>
      <c r="O33" s="36"/>
      <c r="P33" s="36">
        <f>(70+115)/2</f>
        <v>92.5</v>
      </c>
      <c r="Q33" s="36"/>
      <c r="R33" s="36">
        <v>0</v>
      </c>
      <c r="S33" s="14"/>
      <c r="T33" s="36">
        <f>(58+136)/2</f>
        <v>97</v>
      </c>
      <c r="U33" s="36"/>
      <c r="V33" s="36">
        <f>(100+138)/2</f>
        <v>119</v>
      </c>
      <c r="W33" s="36"/>
      <c r="X33" s="36">
        <f>(105+130)/2</f>
        <v>117.5</v>
      </c>
      <c r="Y33" s="36"/>
      <c r="Z33" s="36">
        <f>(107+128)/2</f>
        <v>117.5</v>
      </c>
      <c r="AA33" s="36"/>
      <c r="AB33" s="36">
        <f>(70+119)/2</f>
        <v>94.5</v>
      </c>
      <c r="AC33" s="36"/>
      <c r="AD33" s="36">
        <f>(104+104)/2</f>
        <v>104</v>
      </c>
      <c r="AE33" s="36"/>
      <c r="AF33" s="36">
        <v>0</v>
      </c>
      <c r="AG33" s="26">
        <v>38652</v>
      </c>
      <c r="AH33" t="s">
        <v>38</v>
      </c>
      <c r="AI33" s="66">
        <f t="shared" si="0"/>
        <v>1443</v>
      </c>
      <c r="AJ33" s="15"/>
      <c r="AK33" s="44">
        <v>75</v>
      </c>
      <c r="AM33" s="51">
        <v>249</v>
      </c>
      <c r="AN33" s="44"/>
      <c r="AO33" s="58">
        <v>264</v>
      </c>
      <c r="AP33" s="44"/>
      <c r="AQ33" s="44">
        <v>141</v>
      </c>
      <c r="AR33" s="44"/>
      <c r="AS33" s="44">
        <v>34</v>
      </c>
      <c r="AT33" s="44"/>
      <c r="AU33" s="44">
        <v>2</v>
      </c>
      <c r="AW33" s="44">
        <v>0</v>
      </c>
      <c r="AX33" s="14"/>
      <c r="AY33" s="44">
        <v>76</v>
      </c>
      <c r="AZ33" s="44"/>
      <c r="BA33" s="58">
        <v>289</v>
      </c>
      <c r="BB33" s="44"/>
      <c r="BC33" s="44">
        <v>250</v>
      </c>
      <c r="BD33" s="44"/>
      <c r="BE33" s="44">
        <v>55</v>
      </c>
      <c r="BF33" s="44"/>
      <c r="BG33" s="44">
        <v>7</v>
      </c>
      <c r="BH33" s="44"/>
      <c r="BI33" s="44">
        <v>1</v>
      </c>
      <c r="BJ33" s="44"/>
      <c r="BK33" s="44">
        <v>0</v>
      </c>
    </row>
    <row r="34" spans="1:63" ht="12.75">
      <c r="A34">
        <v>29</v>
      </c>
      <c r="B34" s="26">
        <v>38653</v>
      </c>
      <c r="C34" t="s">
        <v>18</v>
      </c>
      <c r="D34" s="18">
        <v>1757</v>
      </c>
      <c r="E34" s="15"/>
      <c r="F34" s="36">
        <f>(100+152)/2</f>
        <v>126</v>
      </c>
      <c r="G34" s="37"/>
      <c r="H34" s="36">
        <f>(120+152)/2</f>
        <v>136</v>
      </c>
      <c r="I34" s="36"/>
      <c r="J34" s="36">
        <f>(115+144)/2</f>
        <v>129.5</v>
      </c>
      <c r="K34" s="36"/>
      <c r="L34" s="36">
        <f>(120+136)/2</f>
        <v>128</v>
      </c>
      <c r="M34" s="36"/>
      <c r="N34" s="36">
        <f>(117+132)/2</f>
        <v>124.5</v>
      </c>
      <c r="O34" s="36"/>
      <c r="P34" s="36">
        <f>(104+127)/2</f>
        <v>115.5</v>
      </c>
      <c r="Q34" s="36"/>
      <c r="R34" s="36">
        <f>(95+120)/2</f>
        <v>107.5</v>
      </c>
      <c r="S34" s="14"/>
      <c r="T34" s="36">
        <f>(88+133)/2</f>
        <v>110.5</v>
      </c>
      <c r="U34" s="36"/>
      <c r="V34" s="36">
        <f>(100+136)/2</f>
        <v>118</v>
      </c>
      <c r="W34" s="36"/>
      <c r="X34" s="36">
        <f>(100+127)/2</f>
        <v>113.5</v>
      </c>
      <c r="Y34" s="36"/>
      <c r="Z34" s="36">
        <f>(100+128)/2</f>
        <v>114</v>
      </c>
      <c r="AA34" s="36"/>
      <c r="AB34" s="36">
        <f>(105+118)/2</f>
        <v>111.5</v>
      </c>
      <c r="AC34" s="36"/>
      <c r="AD34" s="36">
        <f>(98+114)/2</f>
        <v>106</v>
      </c>
      <c r="AE34" s="36"/>
      <c r="AF34" s="36">
        <f>(67+111)/2</f>
        <v>89</v>
      </c>
      <c r="AG34" s="26">
        <v>38653</v>
      </c>
      <c r="AH34" t="s">
        <v>18</v>
      </c>
      <c r="AI34" s="66">
        <f t="shared" si="0"/>
        <v>1742</v>
      </c>
      <c r="AJ34" s="15"/>
      <c r="AK34" s="44">
        <v>44</v>
      </c>
      <c r="AM34" s="51">
        <v>179</v>
      </c>
      <c r="AN34" s="44"/>
      <c r="AO34" s="58">
        <v>306</v>
      </c>
      <c r="AP34" s="44"/>
      <c r="AQ34" s="44">
        <v>279</v>
      </c>
      <c r="AR34" s="44"/>
      <c r="AS34" s="44">
        <v>125</v>
      </c>
      <c r="AT34" s="44"/>
      <c r="AU34" s="44">
        <v>31</v>
      </c>
      <c r="AW34" s="44">
        <v>8</v>
      </c>
      <c r="AX34" s="14"/>
      <c r="AY34" s="44">
        <v>45</v>
      </c>
      <c r="AZ34" s="44"/>
      <c r="BA34" s="44">
        <v>167</v>
      </c>
      <c r="BB34" s="44"/>
      <c r="BC34" s="58">
        <v>276</v>
      </c>
      <c r="BD34" s="44"/>
      <c r="BE34" s="44">
        <v>191</v>
      </c>
      <c r="BF34" s="44"/>
      <c r="BG34" s="44">
        <v>74</v>
      </c>
      <c r="BH34" s="44"/>
      <c r="BI34" s="44">
        <v>13</v>
      </c>
      <c r="BJ34" s="44"/>
      <c r="BK34" s="44">
        <v>4</v>
      </c>
    </row>
    <row r="35" spans="1:63" ht="12.75">
      <c r="A35">
        <v>30</v>
      </c>
      <c r="B35" s="26">
        <v>38654</v>
      </c>
      <c r="C35" t="s">
        <v>47</v>
      </c>
      <c r="D35" s="18">
        <v>1182</v>
      </c>
      <c r="E35" s="15"/>
      <c r="F35" s="36">
        <f>(106+155)/2</f>
        <v>130.5</v>
      </c>
      <c r="G35" s="37"/>
      <c r="H35" s="36">
        <f>(119+154)/2</f>
        <v>136.5</v>
      </c>
      <c r="I35" s="36"/>
      <c r="J35" s="36">
        <f>(120+137)/2</f>
        <v>128.5</v>
      </c>
      <c r="K35" s="36"/>
      <c r="L35" s="36">
        <f>(120+136)/2</f>
        <v>128</v>
      </c>
      <c r="M35" s="36"/>
      <c r="N35" s="36">
        <f>(112+128)/2</f>
        <v>120</v>
      </c>
      <c r="O35" s="36"/>
      <c r="P35" s="36">
        <f>(100+120)/2</f>
        <v>110</v>
      </c>
      <c r="Q35" s="36"/>
      <c r="R35" s="36">
        <v>0</v>
      </c>
      <c r="S35" s="14"/>
      <c r="T35" s="36">
        <f>(90+134)/2</f>
        <v>112</v>
      </c>
      <c r="U35" s="36"/>
      <c r="V35" s="36">
        <f>(100+137)/2</f>
        <v>118.5</v>
      </c>
      <c r="W35" s="36"/>
      <c r="X35" s="36">
        <f>(100+131)/2</f>
        <v>115.5</v>
      </c>
      <c r="Y35" s="36"/>
      <c r="Z35" s="36">
        <f>(90+126)/2</f>
        <v>108</v>
      </c>
      <c r="AA35" s="36"/>
      <c r="AB35" s="36">
        <f>(88+118)/2</f>
        <v>103</v>
      </c>
      <c r="AC35" s="36"/>
      <c r="AD35" s="36">
        <f>(85+111)/2</f>
        <v>98</v>
      </c>
      <c r="AE35" s="36"/>
      <c r="AF35" s="36">
        <v>0</v>
      </c>
      <c r="AG35" s="26">
        <v>38654</v>
      </c>
      <c r="AH35" t="s">
        <v>47</v>
      </c>
      <c r="AI35" s="66">
        <f t="shared" si="0"/>
        <v>1176</v>
      </c>
      <c r="AJ35" s="15"/>
      <c r="AK35" s="44">
        <v>50</v>
      </c>
      <c r="AM35" s="51">
        <v>102</v>
      </c>
      <c r="AN35" s="44"/>
      <c r="AO35" s="44">
        <v>198</v>
      </c>
      <c r="AP35" s="44"/>
      <c r="AQ35" s="58">
        <v>223</v>
      </c>
      <c r="AR35" s="44"/>
      <c r="AS35" s="44">
        <v>92</v>
      </c>
      <c r="AT35" s="44"/>
      <c r="AU35" s="44">
        <v>12</v>
      </c>
      <c r="AW35" s="44">
        <v>0</v>
      </c>
      <c r="AX35" s="14"/>
      <c r="AY35" s="44">
        <v>36</v>
      </c>
      <c r="AZ35" s="44"/>
      <c r="BA35" s="44">
        <v>123</v>
      </c>
      <c r="BB35" s="44"/>
      <c r="BC35" s="58">
        <v>197</v>
      </c>
      <c r="BD35" s="44"/>
      <c r="BE35" s="44">
        <v>119</v>
      </c>
      <c r="BF35" s="44"/>
      <c r="BG35" s="44">
        <v>17</v>
      </c>
      <c r="BH35" s="44"/>
      <c r="BI35" s="44">
        <v>7</v>
      </c>
      <c r="BJ35" s="44"/>
      <c r="BK35" s="44">
        <v>0</v>
      </c>
    </row>
    <row r="36" spans="1:63" ht="12.75">
      <c r="A36">
        <v>31</v>
      </c>
      <c r="B36" s="26">
        <v>38659</v>
      </c>
      <c r="C36" t="s">
        <v>64</v>
      </c>
      <c r="D36" s="18">
        <v>1059</v>
      </c>
      <c r="E36" s="15"/>
      <c r="F36" s="36">
        <f>(100+156)/2</f>
        <v>128</v>
      </c>
      <c r="G36" s="37"/>
      <c r="H36" s="36">
        <f>(120+156)/2</f>
        <v>138</v>
      </c>
      <c r="I36" s="36"/>
      <c r="J36" s="36">
        <f>(110+138)/2</f>
        <v>124</v>
      </c>
      <c r="K36" s="36"/>
      <c r="L36" s="36">
        <f>(115+129)/2</f>
        <v>122</v>
      </c>
      <c r="M36" s="36"/>
      <c r="N36" s="36">
        <f>(100+121)/2</f>
        <v>110.5</v>
      </c>
      <c r="O36" s="36"/>
      <c r="P36" s="36">
        <f>(80+115)/2</f>
        <v>97.5</v>
      </c>
      <c r="Q36" s="36"/>
      <c r="R36" s="36">
        <f>(86+102)/2</f>
        <v>94</v>
      </c>
      <c r="S36" s="14"/>
      <c r="T36" s="36">
        <f>(80+132)/2</f>
        <v>106</v>
      </c>
      <c r="U36" s="36"/>
      <c r="V36" s="36">
        <f>(104+135)/2</f>
        <v>119.5</v>
      </c>
      <c r="W36" s="36"/>
      <c r="X36" s="36">
        <f>(95+126)/2</f>
        <v>110.5</v>
      </c>
      <c r="Y36" s="36"/>
      <c r="Z36" s="36">
        <f>(95+118)/2</f>
        <v>106.5</v>
      </c>
      <c r="AA36" s="36"/>
      <c r="AB36" s="36">
        <f>(80+104)/2</f>
        <v>92</v>
      </c>
      <c r="AC36" s="36"/>
      <c r="AD36" s="36">
        <f>(56+104)/2</f>
        <v>80</v>
      </c>
      <c r="AE36" s="36"/>
      <c r="AF36" s="36">
        <f>(78+78)/2</f>
        <v>78</v>
      </c>
      <c r="AG36" s="26">
        <v>38659</v>
      </c>
      <c r="AH36" t="s">
        <v>64</v>
      </c>
      <c r="AI36" s="66">
        <f>SUM(AK36:BK36)</f>
        <v>1055</v>
      </c>
      <c r="AJ36" s="15"/>
      <c r="AK36" s="44">
        <v>47</v>
      </c>
      <c r="AM36" s="51">
        <v>130</v>
      </c>
      <c r="AN36" s="44"/>
      <c r="AO36" s="58">
        <v>183</v>
      </c>
      <c r="AP36" s="44"/>
      <c r="AQ36" s="44">
        <v>158</v>
      </c>
      <c r="AR36" s="44"/>
      <c r="AS36" s="44">
        <v>55</v>
      </c>
      <c r="AT36" s="44"/>
      <c r="AU36" s="44">
        <v>16</v>
      </c>
      <c r="AW36" s="44">
        <v>3</v>
      </c>
      <c r="AX36" s="14"/>
      <c r="AY36" s="44">
        <v>30</v>
      </c>
      <c r="BA36" s="44">
        <v>127</v>
      </c>
      <c r="BB36" s="44"/>
      <c r="BC36" s="58">
        <v>141</v>
      </c>
      <c r="BD36" s="44"/>
      <c r="BE36" s="44">
        <v>123</v>
      </c>
      <c r="BG36" s="44">
        <v>34</v>
      </c>
      <c r="BI36" s="44">
        <v>7</v>
      </c>
      <c r="BK36" s="44">
        <v>1</v>
      </c>
    </row>
    <row r="37" spans="1:63" ht="12.75">
      <c r="A37">
        <v>32</v>
      </c>
      <c r="B37" s="26">
        <v>38660</v>
      </c>
      <c r="C37" t="s">
        <v>18</v>
      </c>
      <c r="D37" s="18">
        <v>1827</v>
      </c>
      <c r="E37" s="15"/>
      <c r="F37" s="36">
        <f>(84+146)/2</f>
        <v>115</v>
      </c>
      <c r="G37" s="37"/>
      <c r="H37" s="36">
        <f>(110+162)/2</f>
        <v>136</v>
      </c>
      <c r="I37" s="36"/>
      <c r="J37" s="36">
        <f>(110+138)/2</f>
        <v>124</v>
      </c>
      <c r="K37" s="36"/>
      <c r="L37" s="36">
        <f>(110+129)/2</f>
        <v>119.5</v>
      </c>
      <c r="M37" s="36"/>
      <c r="N37" s="36">
        <f>(90+126)/2</f>
        <v>108</v>
      </c>
      <c r="O37" s="36"/>
      <c r="P37" s="36">
        <f>(80+117)/2</f>
        <v>98.5</v>
      </c>
      <c r="Q37" s="36"/>
      <c r="R37" s="36">
        <f>(70+103)/2</f>
        <v>86.5</v>
      </c>
      <c r="S37" s="14"/>
      <c r="T37" s="36">
        <f>(85+128)/2</f>
        <v>106.5</v>
      </c>
      <c r="U37" s="36"/>
      <c r="V37" s="36">
        <f>(90+137)/2</f>
        <v>113.5</v>
      </c>
      <c r="W37" s="36"/>
      <c r="X37" s="36">
        <f>(100+128)/2</f>
        <v>114</v>
      </c>
      <c r="Y37" s="36"/>
      <c r="Z37" s="36">
        <f>(85+117)/2</f>
        <v>101</v>
      </c>
      <c r="AA37" s="36"/>
      <c r="AB37" s="36">
        <f>(84+110)/2</f>
        <v>97</v>
      </c>
      <c r="AC37" s="36"/>
      <c r="AD37" s="36">
        <f>(50+106)/2</f>
        <v>78</v>
      </c>
      <c r="AE37" s="36"/>
      <c r="AF37" s="36">
        <f>(42+109)/2</f>
        <v>75.5</v>
      </c>
      <c r="AG37" s="26">
        <v>38660</v>
      </c>
      <c r="AH37" t="s">
        <v>18</v>
      </c>
      <c r="AI37" s="66">
        <f t="shared" si="0"/>
        <v>1809</v>
      </c>
      <c r="AJ37" s="15"/>
      <c r="AK37" s="44">
        <v>59</v>
      </c>
      <c r="AM37" s="51">
        <v>199</v>
      </c>
      <c r="AN37" s="44"/>
      <c r="AO37" s="58">
        <v>349</v>
      </c>
      <c r="AP37" s="44"/>
      <c r="AQ37" s="44">
        <v>274</v>
      </c>
      <c r="AR37" s="44"/>
      <c r="AS37" s="44">
        <v>125</v>
      </c>
      <c r="AT37" s="44"/>
      <c r="AU37" s="44">
        <v>27</v>
      </c>
      <c r="AW37" s="44">
        <v>5</v>
      </c>
      <c r="AX37" s="14"/>
      <c r="AY37" s="44">
        <v>62</v>
      </c>
      <c r="BA37" s="44">
        <v>189</v>
      </c>
      <c r="BB37" s="44"/>
      <c r="BC37" s="58">
        <v>307</v>
      </c>
      <c r="BD37" s="44"/>
      <c r="BE37" s="44">
        <v>156</v>
      </c>
      <c r="BF37" s="44"/>
      <c r="BG37" s="44">
        <v>44</v>
      </c>
      <c r="BH37" s="44"/>
      <c r="BI37" s="44">
        <v>11</v>
      </c>
      <c r="BJ37" s="44"/>
      <c r="BK37" s="44">
        <v>2</v>
      </c>
    </row>
    <row r="38" spans="1:63" ht="12.75">
      <c r="A38">
        <v>33</v>
      </c>
      <c r="B38" s="26">
        <v>38661</v>
      </c>
      <c r="C38" t="s">
        <v>38</v>
      </c>
      <c r="D38" s="18">
        <v>1409</v>
      </c>
      <c r="E38" s="15"/>
      <c r="F38" s="36">
        <f>(75+138)/2</f>
        <v>106.5</v>
      </c>
      <c r="G38" s="37"/>
      <c r="H38" s="36">
        <f>(100+152)/2</f>
        <v>126</v>
      </c>
      <c r="I38" s="36"/>
      <c r="J38" s="36">
        <f>(100+138)/2</f>
        <v>119</v>
      </c>
      <c r="K38" s="36"/>
      <c r="L38" s="36">
        <f>(90+134)/2</f>
        <v>112</v>
      </c>
      <c r="M38" s="36"/>
      <c r="N38" s="36">
        <f>(70+127)/2</f>
        <v>98.5</v>
      </c>
      <c r="O38" s="36"/>
      <c r="P38" s="36">
        <f>(80+113)/2</f>
        <v>96.5</v>
      </c>
      <c r="Q38" s="36"/>
      <c r="R38" s="36">
        <f>(50+50)/2</f>
        <v>50</v>
      </c>
      <c r="S38" s="14"/>
      <c r="T38" s="36">
        <f>(62+104)/2</f>
        <v>83</v>
      </c>
      <c r="U38" s="36"/>
      <c r="V38" s="36">
        <f>(80+130)/2</f>
        <v>105</v>
      </c>
      <c r="W38" s="36"/>
      <c r="X38" s="36">
        <f>(85+126)/2</f>
        <v>105.5</v>
      </c>
      <c r="Y38" s="36"/>
      <c r="Z38" s="36">
        <f>(72+115)/2</f>
        <v>93.5</v>
      </c>
      <c r="AA38" s="36"/>
      <c r="AB38" s="36">
        <f>(85+114)/2</f>
        <v>99.5</v>
      </c>
      <c r="AC38" s="36"/>
      <c r="AD38" s="36">
        <f>(33+80)/2</f>
        <v>56.5</v>
      </c>
      <c r="AE38" s="36"/>
      <c r="AF38" s="36">
        <v>0</v>
      </c>
      <c r="AG38" s="26">
        <v>38661</v>
      </c>
      <c r="AH38" t="s">
        <v>38</v>
      </c>
      <c r="AI38" s="66">
        <f t="shared" si="0"/>
        <v>1398</v>
      </c>
      <c r="AJ38" s="15"/>
      <c r="AK38" s="44">
        <v>63</v>
      </c>
      <c r="AM38" s="51">
        <v>235</v>
      </c>
      <c r="AN38" s="44"/>
      <c r="AO38" s="58">
        <v>310</v>
      </c>
      <c r="AP38" s="44"/>
      <c r="AQ38" s="44">
        <v>164</v>
      </c>
      <c r="AR38" s="44"/>
      <c r="AS38" s="44">
        <v>56</v>
      </c>
      <c r="AT38" s="44"/>
      <c r="AU38" s="44">
        <v>15</v>
      </c>
      <c r="AW38" s="44">
        <v>1</v>
      </c>
      <c r="AX38" s="14"/>
      <c r="AY38" s="44">
        <v>59</v>
      </c>
      <c r="AZ38" s="44"/>
      <c r="BA38" s="44">
        <v>190</v>
      </c>
      <c r="BB38" s="44"/>
      <c r="BC38" s="58">
        <v>199</v>
      </c>
      <c r="BD38" s="44"/>
      <c r="BE38" s="44">
        <v>78</v>
      </c>
      <c r="BF38" s="44"/>
      <c r="BG38" s="44">
        <v>24</v>
      </c>
      <c r="BH38" s="44"/>
      <c r="BI38" s="44">
        <v>4</v>
      </c>
      <c r="BJ38" s="44"/>
      <c r="BK38" s="44">
        <v>0</v>
      </c>
    </row>
    <row r="39" spans="1:63" ht="12.75">
      <c r="A39">
        <v>34</v>
      </c>
      <c r="B39" s="26">
        <v>9</v>
      </c>
      <c r="C39" t="s">
        <v>46</v>
      </c>
      <c r="D39" s="18">
        <v>1384</v>
      </c>
      <c r="E39" s="15"/>
      <c r="F39" s="36">
        <f>(77+140)/2</f>
        <v>108.5</v>
      </c>
      <c r="G39" s="37"/>
      <c r="H39" s="36">
        <f>(100+157)/2</f>
        <v>128.5</v>
      </c>
      <c r="I39" s="36"/>
      <c r="J39" s="36">
        <f>(100+141)/2</f>
        <v>120.5</v>
      </c>
      <c r="K39" s="36"/>
      <c r="L39" s="36">
        <f>(105+136)/2</f>
        <v>120.5</v>
      </c>
      <c r="M39" s="36"/>
      <c r="N39" s="36">
        <f>(100+126)/2</f>
        <v>113</v>
      </c>
      <c r="O39" s="36"/>
      <c r="P39" s="36">
        <f>(100+118)/2</f>
        <v>109</v>
      </c>
      <c r="Q39" s="36"/>
      <c r="R39" s="36">
        <f>(60+94)/2</f>
        <v>77</v>
      </c>
      <c r="S39" s="14"/>
      <c r="T39" s="36">
        <f>(60+106)/2</f>
        <v>83</v>
      </c>
      <c r="U39" s="36"/>
      <c r="V39" s="36">
        <f>(80+136)/2</f>
        <v>108</v>
      </c>
      <c r="W39" s="36"/>
      <c r="X39" s="36">
        <f>(80+121)/2</f>
        <v>100.5</v>
      </c>
      <c r="Y39" s="36"/>
      <c r="Z39" s="36">
        <f>(90+116)/2</f>
        <v>103</v>
      </c>
      <c r="AA39" s="36"/>
      <c r="AB39" s="36">
        <f>(74+115)/2</f>
        <v>94.5</v>
      </c>
      <c r="AC39" s="36"/>
      <c r="AD39" s="36">
        <f>(90+104)/2</f>
        <v>97</v>
      </c>
      <c r="AE39" s="36"/>
      <c r="AF39" s="36">
        <v>0</v>
      </c>
      <c r="AG39" s="26">
        <v>9</v>
      </c>
      <c r="AH39" t="s">
        <v>46</v>
      </c>
      <c r="AI39" s="66">
        <f t="shared" si="0"/>
        <v>1372</v>
      </c>
      <c r="AJ39" s="15"/>
      <c r="AK39" s="44">
        <v>62</v>
      </c>
      <c r="AM39" s="51">
        <v>216</v>
      </c>
      <c r="AN39" s="44"/>
      <c r="AO39" s="58">
        <v>286</v>
      </c>
      <c r="AP39" s="44"/>
      <c r="AQ39" s="44">
        <v>155</v>
      </c>
      <c r="AR39" s="44"/>
      <c r="AS39" s="44">
        <v>45</v>
      </c>
      <c r="AT39" s="44"/>
      <c r="AU39" s="44">
        <v>7</v>
      </c>
      <c r="AW39" s="44">
        <v>2</v>
      </c>
      <c r="AX39" s="14"/>
      <c r="AY39" s="44">
        <v>60</v>
      </c>
      <c r="AZ39" s="44"/>
      <c r="BA39" s="44">
        <v>204</v>
      </c>
      <c r="BB39" s="44"/>
      <c r="BC39" s="58">
        <v>236</v>
      </c>
      <c r="BD39" s="44"/>
      <c r="BE39" s="44">
        <v>72</v>
      </c>
      <c r="BF39" s="44"/>
      <c r="BG39" s="44">
        <v>25</v>
      </c>
      <c r="BH39" s="44"/>
      <c r="BI39" s="44">
        <v>2</v>
      </c>
      <c r="BJ39" s="44"/>
      <c r="BK39" s="44">
        <v>0</v>
      </c>
    </row>
    <row r="40" spans="1:63" ht="12.75">
      <c r="A40">
        <v>35</v>
      </c>
      <c r="B40" s="26">
        <v>38666</v>
      </c>
      <c r="C40" t="s">
        <v>38</v>
      </c>
      <c r="D40" s="18">
        <v>1375</v>
      </c>
      <c r="E40" s="15"/>
      <c r="F40" s="36">
        <f>(60+141)/2</f>
        <v>100.5</v>
      </c>
      <c r="G40" s="37"/>
      <c r="H40" s="36">
        <f>(80+150)/2</f>
        <v>115</v>
      </c>
      <c r="I40" s="36"/>
      <c r="J40" s="36">
        <f>(100+145)/2</f>
        <v>122.5</v>
      </c>
      <c r="K40" s="36"/>
      <c r="L40" s="36">
        <f>(115+136)/2</f>
        <v>125.5</v>
      </c>
      <c r="M40" s="36"/>
      <c r="N40" s="36">
        <f>(100+134)/2</f>
        <v>117</v>
      </c>
      <c r="O40" s="36"/>
      <c r="P40" s="36">
        <f>(97+123)/2</f>
        <v>110</v>
      </c>
      <c r="Q40" s="36"/>
      <c r="R40" s="36">
        <f>(95+105)/2</f>
        <v>100</v>
      </c>
      <c r="S40" s="14"/>
      <c r="T40" s="36">
        <f>(60+117)/2</f>
        <v>88.5</v>
      </c>
      <c r="U40" s="36"/>
      <c r="V40" s="36">
        <f>(78+135)/2</f>
        <v>106.5</v>
      </c>
      <c r="W40" s="36"/>
      <c r="X40" s="36">
        <f>(80+125)/2</f>
        <v>102.5</v>
      </c>
      <c r="Y40" s="36"/>
      <c r="Z40" s="36">
        <f>(90+120)/2</f>
        <v>105</v>
      </c>
      <c r="AA40" s="36"/>
      <c r="AB40" s="36">
        <f>(90+110)/2</f>
        <v>100</v>
      </c>
      <c r="AC40" s="36"/>
      <c r="AD40" s="36">
        <f>(50+97)/2</f>
        <v>73.5</v>
      </c>
      <c r="AE40" s="36"/>
      <c r="AF40" s="36">
        <v>0</v>
      </c>
      <c r="AG40" s="26">
        <v>38666</v>
      </c>
      <c r="AH40" t="s">
        <v>38</v>
      </c>
      <c r="AI40" s="66">
        <f aca="true" t="shared" si="1" ref="AI40:AI48">SUM(AK40:BK40)</f>
        <v>1366</v>
      </c>
      <c r="AJ40" s="15"/>
      <c r="AK40" s="44">
        <v>44</v>
      </c>
      <c r="AM40" s="51">
        <v>168</v>
      </c>
      <c r="AN40" s="44"/>
      <c r="AO40" s="58">
        <v>267</v>
      </c>
      <c r="AP40" s="44"/>
      <c r="AQ40" s="44">
        <v>219</v>
      </c>
      <c r="AR40" s="44"/>
      <c r="AS40" s="44">
        <v>57</v>
      </c>
      <c r="AT40" s="44"/>
      <c r="AU40" s="44">
        <v>12</v>
      </c>
      <c r="AW40" s="44">
        <v>4</v>
      </c>
      <c r="AX40" s="14"/>
      <c r="AY40" s="44">
        <v>55</v>
      </c>
      <c r="AZ40" s="44"/>
      <c r="BA40" s="44">
        <v>208</v>
      </c>
      <c r="BB40" s="44"/>
      <c r="BC40" s="58">
        <v>225</v>
      </c>
      <c r="BD40" s="44"/>
      <c r="BE40" s="44">
        <v>82</v>
      </c>
      <c r="BF40" s="44"/>
      <c r="BG40" s="44">
        <v>23</v>
      </c>
      <c r="BH40" s="44"/>
      <c r="BI40" s="44">
        <v>2</v>
      </c>
      <c r="BJ40" s="44"/>
      <c r="BK40" s="44">
        <v>0</v>
      </c>
    </row>
    <row r="41" spans="1:63" ht="12.75">
      <c r="A41">
        <v>36</v>
      </c>
      <c r="B41" s="26">
        <v>38667</v>
      </c>
      <c r="C41" t="s">
        <v>18</v>
      </c>
      <c r="D41" s="18">
        <v>1697</v>
      </c>
      <c r="E41" s="15"/>
      <c r="F41" s="36">
        <f>(92+142)/2</f>
        <v>117</v>
      </c>
      <c r="G41" s="37"/>
      <c r="H41" s="36">
        <f>(100+150)/2</f>
        <v>125</v>
      </c>
      <c r="I41" s="36"/>
      <c r="J41" s="36">
        <f>(110+146)/2</f>
        <v>128</v>
      </c>
      <c r="K41" s="36"/>
      <c r="L41" s="36">
        <f>(110+144)/2</f>
        <v>127</v>
      </c>
      <c r="M41" s="36"/>
      <c r="N41" s="36">
        <f>(112+133)/2</f>
        <v>122.5</v>
      </c>
      <c r="O41" s="36"/>
      <c r="P41" s="36">
        <f>(80+124)/2</f>
        <v>102</v>
      </c>
      <c r="Q41" s="36"/>
      <c r="R41" s="36">
        <f>(70+114)/2</f>
        <v>92</v>
      </c>
      <c r="S41" s="14"/>
      <c r="T41" s="36">
        <f>(80+110)/2</f>
        <v>95</v>
      </c>
      <c r="U41" s="36"/>
      <c r="V41" s="36">
        <f>(90+122)/2</f>
        <v>106</v>
      </c>
      <c r="W41" s="36"/>
      <c r="X41" s="36">
        <f>(90+121)/2</f>
        <v>105.5</v>
      </c>
      <c r="Y41" s="36"/>
      <c r="Z41" s="36">
        <f>(90+119)/2</f>
        <v>104.5</v>
      </c>
      <c r="AA41" s="36"/>
      <c r="AB41" s="36">
        <f>(92+121)/2</f>
        <v>106.5</v>
      </c>
      <c r="AC41" s="36"/>
      <c r="AD41" s="36">
        <f>(80+114)/2</f>
        <v>97</v>
      </c>
      <c r="AE41" s="36"/>
      <c r="AF41" s="36">
        <f>(70+91)/2</f>
        <v>80.5</v>
      </c>
      <c r="AG41" s="26">
        <v>38667</v>
      </c>
      <c r="AH41" t="s">
        <v>18</v>
      </c>
      <c r="AI41" s="66">
        <f t="shared" si="1"/>
        <v>1687</v>
      </c>
      <c r="AJ41" s="15"/>
      <c r="AK41" s="44">
        <v>43</v>
      </c>
      <c r="AM41" s="51">
        <v>172</v>
      </c>
      <c r="AN41" s="44"/>
      <c r="AO41" s="58">
        <v>291</v>
      </c>
      <c r="AP41" s="44"/>
      <c r="AQ41" s="44">
        <v>239</v>
      </c>
      <c r="AR41" s="44"/>
      <c r="AS41" s="44">
        <v>118</v>
      </c>
      <c r="AT41" s="44"/>
      <c r="AU41" s="44">
        <v>42</v>
      </c>
      <c r="AW41" s="44">
        <v>20</v>
      </c>
      <c r="AX41" s="14"/>
      <c r="AY41" s="44">
        <v>52</v>
      </c>
      <c r="AZ41" s="44"/>
      <c r="BA41" s="44">
        <v>208</v>
      </c>
      <c r="BB41" s="44"/>
      <c r="BC41" s="58">
        <v>265</v>
      </c>
      <c r="BD41" s="44"/>
      <c r="BE41" s="44">
        <v>167</v>
      </c>
      <c r="BF41" s="44"/>
      <c r="BG41" s="44">
        <v>48</v>
      </c>
      <c r="BH41" s="44"/>
      <c r="BI41" s="44">
        <v>13</v>
      </c>
      <c r="BJ41" s="44"/>
      <c r="BK41" s="44">
        <v>9</v>
      </c>
    </row>
    <row r="42" spans="1:63" ht="12.75">
      <c r="A42">
        <v>37</v>
      </c>
      <c r="B42" s="26">
        <v>38673</v>
      </c>
      <c r="C42" t="s">
        <v>47</v>
      </c>
      <c r="D42" s="18">
        <v>1201</v>
      </c>
      <c r="E42" s="15"/>
      <c r="F42" s="36">
        <f>(70+150)/2</f>
        <v>110</v>
      </c>
      <c r="G42" s="37"/>
      <c r="H42" s="36">
        <f>(110+157)/2</f>
        <v>133.5</v>
      </c>
      <c r="I42" s="36"/>
      <c r="J42" s="36">
        <f>(110+143)/2</f>
        <v>126.5</v>
      </c>
      <c r="K42" s="36"/>
      <c r="L42" s="36">
        <f>(118+136)/2</f>
        <v>127</v>
      </c>
      <c r="M42" s="36"/>
      <c r="N42" s="36">
        <f>(110+127)/2</f>
        <v>118.5</v>
      </c>
      <c r="O42" s="36"/>
      <c r="P42" s="36">
        <f>(112+120)/2</f>
        <v>116</v>
      </c>
      <c r="Q42" s="36"/>
      <c r="R42" s="36">
        <f>(47+114)/2</f>
        <v>80.5</v>
      </c>
      <c r="S42" s="14"/>
      <c r="T42" s="36">
        <f>(90+120)/2</f>
        <v>105</v>
      </c>
      <c r="U42" s="36"/>
      <c r="V42" s="36">
        <f>(95+130)/2</f>
        <v>112.5</v>
      </c>
      <c r="W42" s="36"/>
      <c r="X42" s="36">
        <f>(100+130)/2</f>
        <v>115</v>
      </c>
      <c r="Y42" s="36"/>
      <c r="Z42" s="36">
        <f>(105+121)/2</f>
        <v>113</v>
      </c>
      <c r="AA42" s="36"/>
      <c r="AB42" s="36">
        <f>(80+123)/2</f>
        <v>101.5</v>
      </c>
      <c r="AC42" s="36"/>
      <c r="AD42" s="36">
        <f>(100+110)/2</f>
        <v>105</v>
      </c>
      <c r="AE42" s="36"/>
      <c r="AF42" s="36">
        <f>(75+96)/2</f>
        <v>85.5</v>
      </c>
      <c r="AG42" s="26">
        <v>38673</v>
      </c>
      <c r="AH42" t="s">
        <v>47</v>
      </c>
      <c r="AI42" s="66">
        <f t="shared" si="1"/>
        <v>1195</v>
      </c>
      <c r="AJ42" s="15"/>
      <c r="AK42" s="44">
        <v>31</v>
      </c>
      <c r="AM42" s="51">
        <v>119</v>
      </c>
      <c r="AN42" s="44"/>
      <c r="AO42" s="58">
        <v>245</v>
      </c>
      <c r="AP42" s="44"/>
      <c r="AQ42" s="44">
        <v>194</v>
      </c>
      <c r="AR42" s="44"/>
      <c r="AS42" s="44">
        <v>91</v>
      </c>
      <c r="AT42" s="44"/>
      <c r="AU42" s="44">
        <v>8</v>
      </c>
      <c r="AV42" s="44"/>
      <c r="AW42" s="44">
        <v>8</v>
      </c>
      <c r="AX42" s="14"/>
      <c r="AY42" s="44">
        <v>31</v>
      </c>
      <c r="AZ42" s="44"/>
      <c r="BA42" s="44">
        <v>125</v>
      </c>
      <c r="BB42" s="44"/>
      <c r="BC42" s="58">
        <v>191</v>
      </c>
      <c r="BD42" s="44"/>
      <c r="BE42" s="44">
        <v>119</v>
      </c>
      <c r="BF42" s="44"/>
      <c r="BG42" s="44">
        <v>25</v>
      </c>
      <c r="BH42" s="44"/>
      <c r="BI42" s="44">
        <v>4</v>
      </c>
      <c r="BJ42" s="44"/>
      <c r="BK42" s="44">
        <v>4</v>
      </c>
    </row>
    <row r="43" spans="1:63" ht="12.75">
      <c r="A43">
        <v>38</v>
      </c>
      <c r="B43" s="26">
        <v>38674</v>
      </c>
      <c r="C43" s="27" t="s">
        <v>18</v>
      </c>
      <c r="D43" s="18">
        <v>1647</v>
      </c>
      <c r="F43" s="36">
        <f>(88+148)/2</f>
        <v>118</v>
      </c>
      <c r="G43" s="37"/>
      <c r="H43" s="36">
        <f>(110+148)/2</f>
        <v>129</v>
      </c>
      <c r="I43" s="36"/>
      <c r="J43" s="36">
        <f>(116+144)/2</f>
        <v>130</v>
      </c>
      <c r="K43" s="36"/>
      <c r="L43" s="36">
        <f>(110+140)/2</f>
        <v>125</v>
      </c>
      <c r="M43" s="36"/>
      <c r="N43" s="36">
        <f>(105+131)/2</f>
        <v>118</v>
      </c>
      <c r="O43" s="36"/>
      <c r="P43" s="36">
        <f>(88+124)/2</f>
        <v>106</v>
      </c>
      <c r="Q43" s="36"/>
      <c r="R43" s="36">
        <f>(70+113)/2</f>
        <v>91.5</v>
      </c>
      <c r="S43" s="14"/>
      <c r="T43" s="36">
        <f>(80+119)/2</f>
        <v>99.5</v>
      </c>
      <c r="U43" s="36"/>
      <c r="V43" s="36">
        <f>(80+126)/2</f>
        <v>103</v>
      </c>
      <c r="W43" s="36"/>
      <c r="X43" s="36">
        <f>(100+127)/2</f>
        <v>113.5</v>
      </c>
      <c r="Y43" s="36"/>
      <c r="Z43" s="36">
        <f>(96+126)/2</f>
        <v>111</v>
      </c>
      <c r="AA43" s="36"/>
      <c r="AB43" s="36">
        <f>(80+124)/2</f>
        <v>102</v>
      </c>
      <c r="AC43" s="36"/>
      <c r="AD43" s="36">
        <f>(80+104)/2</f>
        <v>92</v>
      </c>
      <c r="AE43" s="36"/>
      <c r="AF43" s="36">
        <f>(60+85)/2</f>
        <v>72.5</v>
      </c>
      <c r="AG43" s="26">
        <v>38674</v>
      </c>
      <c r="AH43" s="27" t="s">
        <v>18</v>
      </c>
      <c r="AI43" s="66">
        <f t="shared" si="1"/>
        <v>1630</v>
      </c>
      <c r="AJ43" s="15"/>
      <c r="AK43" s="44">
        <v>53</v>
      </c>
      <c r="AM43" s="51">
        <v>181</v>
      </c>
      <c r="AN43" s="44"/>
      <c r="AO43" s="44">
        <v>255</v>
      </c>
      <c r="AP43" s="44"/>
      <c r="AQ43" s="58">
        <v>260</v>
      </c>
      <c r="AR43" s="44"/>
      <c r="AS43" s="44">
        <v>114</v>
      </c>
      <c r="AT43" s="44"/>
      <c r="AU43" s="44">
        <v>43</v>
      </c>
      <c r="AW43" s="44">
        <v>12</v>
      </c>
      <c r="AX43" s="14"/>
      <c r="AY43" s="44">
        <v>64</v>
      </c>
      <c r="AZ43" s="44"/>
      <c r="BA43" s="44">
        <v>184</v>
      </c>
      <c r="BB43" s="44"/>
      <c r="BC43" s="58">
        <v>243</v>
      </c>
      <c r="BD43" s="44"/>
      <c r="BE43" s="44">
        <v>157</v>
      </c>
      <c r="BF43" s="44"/>
      <c r="BG43" s="44">
        <v>51</v>
      </c>
      <c r="BH43" s="44"/>
      <c r="BI43" s="44">
        <v>10</v>
      </c>
      <c r="BJ43" s="44"/>
      <c r="BK43" s="44">
        <v>3</v>
      </c>
    </row>
    <row r="44" spans="1:63" ht="12.75">
      <c r="A44">
        <v>39</v>
      </c>
      <c r="B44" s="26">
        <v>38675</v>
      </c>
      <c r="C44" t="s">
        <v>38</v>
      </c>
      <c r="D44" s="75">
        <v>1360</v>
      </c>
      <c r="E44" s="15"/>
      <c r="F44" s="36">
        <f>(70+127)/2</f>
        <v>98.5</v>
      </c>
      <c r="G44" s="37"/>
      <c r="H44" s="36">
        <f>(88+150)/2</f>
        <v>119</v>
      </c>
      <c r="I44" s="36"/>
      <c r="J44" s="36">
        <f>(100+147)/2</f>
        <v>123.5</v>
      </c>
      <c r="K44" s="36"/>
      <c r="L44" s="36">
        <f>(117+153)/2</f>
        <v>135</v>
      </c>
      <c r="M44" s="36"/>
      <c r="N44" s="36">
        <f>(106+136)/2</f>
        <v>121</v>
      </c>
      <c r="O44" s="36"/>
      <c r="P44" s="36">
        <f>(66+123)/2</f>
        <v>94.5</v>
      </c>
      <c r="Q44" s="36"/>
      <c r="R44" s="36">
        <f>(75+106)/2</f>
        <v>90.5</v>
      </c>
      <c r="S44" s="14"/>
      <c r="T44" s="36">
        <f>(50+102)/2</f>
        <v>76</v>
      </c>
      <c r="U44" s="36"/>
      <c r="V44" s="36">
        <f>(60+116)/2</f>
        <v>88</v>
      </c>
      <c r="W44" s="36"/>
      <c r="X44" s="36">
        <f>(80+123)/2</f>
        <v>101.5</v>
      </c>
      <c r="Y44" s="36"/>
      <c r="Z44" s="36">
        <f>(70+122)/2</f>
        <v>96</v>
      </c>
      <c r="AA44" s="36"/>
      <c r="AB44" s="36">
        <f>(80+122)/2</f>
        <v>101</v>
      </c>
      <c r="AC44" s="36"/>
      <c r="AD44" s="36">
        <f>(92+97)/2</f>
        <v>94.5</v>
      </c>
      <c r="AE44" s="36"/>
      <c r="AF44" s="36">
        <f>(83+83)/2</f>
        <v>83</v>
      </c>
      <c r="AG44" s="26">
        <v>38675</v>
      </c>
      <c r="AH44" t="s">
        <v>38</v>
      </c>
      <c r="AI44" s="66">
        <f t="shared" si="1"/>
        <v>1357</v>
      </c>
      <c r="AJ44" s="15"/>
      <c r="AK44" s="44">
        <v>69</v>
      </c>
      <c r="AM44" s="51">
        <v>194</v>
      </c>
      <c r="AN44" s="44"/>
      <c r="AO44" s="58">
        <v>246</v>
      </c>
      <c r="AP44" s="44"/>
      <c r="AQ44" s="44">
        <v>147</v>
      </c>
      <c r="AR44" s="44"/>
      <c r="AS44" s="44">
        <v>44</v>
      </c>
      <c r="AT44" s="44"/>
      <c r="AU44" s="44">
        <v>15</v>
      </c>
      <c r="AW44" s="44">
        <v>4</v>
      </c>
      <c r="AX44" s="14"/>
      <c r="AY44" s="44">
        <v>75</v>
      </c>
      <c r="AZ44" s="44"/>
      <c r="BA44" s="44">
        <v>217</v>
      </c>
      <c r="BB44" s="44"/>
      <c r="BC44" s="58">
        <v>218</v>
      </c>
      <c r="BD44" s="44"/>
      <c r="BE44" s="44">
        <v>98</v>
      </c>
      <c r="BF44" s="44"/>
      <c r="BG44" s="44">
        <v>25</v>
      </c>
      <c r="BH44" s="44"/>
      <c r="BI44" s="44">
        <v>2</v>
      </c>
      <c r="BJ44" s="44"/>
      <c r="BK44" s="44">
        <v>3</v>
      </c>
    </row>
    <row r="45" spans="1:63" ht="12.75">
      <c r="A45">
        <v>40</v>
      </c>
      <c r="B45" s="26">
        <v>38680</v>
      </c>
      <c r="C45" t="s">
        <v>47</v>
      </c>
      <c r="D45" s="75">
        <v>1162</v>
      </c>
      <c r="E45" s="15"/>
      <c r="F45" s="36">
        <f>(80+135)/2</f>
        <v>107.5</v>
      </c>
      <c r="G45" s="37"/>
      <c r="H45" s="36">
        <f>(100+149)/2</f>
        <v>124.5</v>
      </c>
      <c r="I45" s="36"/>
      <c r="J45" s="36">
        <f>(120+155)/2</f>
        <v>137.5</v>
      </c>
      <c r="K45" s="36"/>
      <c r="L45" s="36">
        <f>(115+149)/2</f>
        <v>132</v>
      </c>
      <c r="M45" s="36"/>
      <c r="N45" s="36">
        <f>(119+134)/2</f>
        <v>126.5</v>
      </c>
      <c r="O45" s="36"/>
      <c r="P45" s="36">
        <f>(107+124)/2</f>
        <v>115.5</v>
      </c>
      <c r="Q45" s="36"/>
      <c r="R45" s="36">
        <v>0</v>
      </c>
      <c r="S45" s="14"/>
      <c r="T45" s="36">
        <f>(60+100)/2</f>
        <v>80</v>
      </c>
      <c r="U45" s="36"/>
      <c r="V45" s="36">
        <f>(80+126)/2</f>
        <v>103</v>
      </c>
      <c r="W45" s="36"/>
      <c r="X45" s="36">
        <f>(100+129)/2</f>
        <v>114.5</v>
      </c>
      <c r="Y45" s="36"/>
      <c r="Z45" s="36">
        <f>(107+127)/2</f>
        <v>117</v>
      </c>
      <c r="AA45" s="36"/>
      <c r="AB45" s="36">
        <f>(100+117)/2</f>
        <v>108.5</v>
      </c>
      <c r="AC45" s="36"/>
      <c r="AD45" s="36">
        <f>(72+109)/2</f>
        <v>90.5</v>
      </c>
      <c r="AE45" s="36"/>
      <c r="AF45" s="36">
        <f>(80+102)/2</f>
        <v>91</v>
      </c>
      <c r="AG45" s="26">
        <v>38680</v>
      </c>
      <c r="AH45" t="s">
        <v>47</v>
      </c>
      <c r="AI45" s="66">
        <f t="shared" si="1"/>
        <v>1154</v>
      </c>
      <c r="AJ45" s="15"/>
      <c r="AK45" s="44">
        <v>38</v>
      </c>
      <c r="AM45" s="51">
        <v>112</v>
      </c>
      <c r="AN45" s="44"/>
      <c r="AO45" s="58">
        <v>225</v>
      </c>
      <c r="AP45" s="44"/>
      <c r="AQ45" s="44">
        <v>183</v>
      </c>
      <c r="AR45" s="44"/>
      <c r="AS45" s="44">
        <v>94</v>
      </c>
      <c r="AT45" s="44"/>
      <c r="AU45" s="44">
        <v>21</v>
      </c>
      <c r="AW45" s="44">
        <v>0</v>
      </c>
      <c r="AX45" s="14"/>
      <c r="AY45" s="44">
        <v>20</v>
      </c>
      <c r="AZ45" s="44"/>
      <c r="BA45" s="44">
        <v>99</v>
      </c>
      <c r="BB45" s="44"/>
      <c r="BC45" s="58">
        <v>184</v>
      </c>
      <c r="BD45" s="44"/>
      <c r="BE45" s="44">
        <v>138</v>
      </c>
      <c r="BF45" s="44"/>
      <c r="BG45" s="44">
        <v>30</v>
      </c>
      <c r="BH45" s="44"/>
      <c r="BI45" s="44">
        <v>5</v>
      </c>
      <c r="BJ45" s="44"/>
      <c r="BK45" s="44">
        <v>5</v>
      </c>
    </row>
    <row r="46" spans="1:63" ht="12.75">
      <c r="A46">
        <v>41</v>
      </c>
      <c r="B46" s="26">
        <v>38681</v>
      </c>
      <c r="C46" t="s">
        <v>18</v>
      </c>
      <c r="D46" s="75">
        <v>1772</v>
      </c>
      <c r="E46" s="15"/>
      <c r="F46" s="36">
        <f>(78+116)/2</f>
        <v>97</v>
      </c>
      <c r="G46" s="37"/>
      <c r="H46" s="36">
        <f>(100+152)/2</f>
        <v>126</v>
      </c>
      <c r="I46" s="36"/>
      <c r="J46" s="36">
        <f>(110+157)/2</f>
        <v>133.5</v>
      </c>
      <c r="K46" s="36"/>
      <c r="L46" s="36">
        <f>(110+148)/2</f>
        <v>129</v>
      </c>
      <c r="M46" s="36"/>
      <c r="N46" s="36">
        <f>(116+142)/2</f>
        <v>129</v>
      </c>
      <c r="O46" s="36"/>
      <c r="P46" s="36">
        <f>(116+127)/2</f>
        <v>121.5</v>
      </c>
      <c r="Q46" s="36"/>
      <c r="R46" s="36">
        <f>(60+85)/2</f>
        <v>72.5</v>
      </c>
      <c r="S46" s="14"/>
      <c r="T46" s="36">
        <f>(70+120)/2</f>
        <v>95</v>
      </c>
      <c r="U46" s="36"/>
      <c r="V46" s="36">
        <f>(80+119)/2</f>
        <v>99.5</v>
      </c>
      <c r="W46" s="36"/>
      <c r="X46" s="36">
        <f>(88+132)/2</f>
        <v>110</v>
      </c>
      <c r="Y46" s="36"/>
      <c r="Z46" s="36">
        <f>(98+130)/2</f>
        <v>114</v>
      </c>
      <c r="AA46" s="36"/>
      <c r="AB46" s="36">
        <f>(86+121)/2</f>
        <v>103.5</v>
      </c>
      <c r="AC46" s="36"/>
      <c r="AD46" s="36">
        <f>(86+111)/2</f>
        <v>98.5</v>
      </c>
      <c r="AE46" s="36"/>
      <c r="AF46" s="36">
        <f>(70+86)/2</f>
        <v>78</v>
      </c>
      <c r="AG46" s="26">
        <v>38681</v>
      </c>
      <c r="AH46" t="s">
        <v>18</v>
      </c>
      <c r="AI46" s="66">
        <f t="shared" si="1"/>
        <v>1768</v>
      </c>
      <c r="AJ46" s="15"/>
      <c r="AK46" s="44">
        <v>36</v>
      </c>
      <c r="AM46" s="51">
        <v>174</v>
      </c>
      <c r="AN46" s="44"/>
      <c r="AO46" s="58">
        <v>345</v>
      </c>
      <c r="AP46" s="44"/>
      <c r="AQ46" s="44">
        <v>270</v>
      </c>
      <c r="AR46" s="44"/>
      <c r="AS46" s="44">
        <v>90</v>
      </c>
      <c r="AT46" s="44"/>
      <c r="AU46" s="44">
        <v>20</v>
      </c>
      <c r="AW46" s="44">
        <v>3</v>
      </c>
      <c r="AX46" s="14"/>
      <c r="AY46" s="44">
        <v>51</v>
      </c>
      <c r="AZ46" s="44"/>
      <c r="BA46" s="44">
        <v>187</v>
      </c>
      <c r="BB46" s="44"/>
      <c r="BC46" s="58">
        <v>335</v>
      </c>
      <c r="BD46" s="44"/>
      <c r="BE46" s="44">
        <v>190</v>
      </c>
      <c r="BF46" s="44"/>
      <c r="BG46" s="44">
        <v>54</v>
      </c>
      <c r="BH46" s="44"/>
      <c r="BI46" s="44">
        <v>9</v>
      </c>
      <c r="BJ46" s="44"/>
      <c r="BK46" s="44">
        <v>4</v>
      </c>
    </row>
    <row r="47" spans="1:63" ht="12.75">
      <c r="A47">
        <v>42</v>
      </c>
      <c r="B47" s="26">
        <v>38688</v>
      </c>
      <c r="C47" t="s">
        <v>18</v>
      </c>
      <c r="D47" s="75">
        <v>1645</v>
      </c>
      <c r="E47" s="15"/>
      <c r="F47" s="36">
        <f>(80+140)/2</f>
        <v>110</v>
      </c>
      <c r="G47" s="37"/>
      <c r="H47" s="36">
        <f>(100+148)/2</f>
        <v>124</v>
      </c>
      <c r="I47" s="36"/>
      <c r="J47" s="36">
        <f>(120+155)/2</f>
        <v>137.5</v>
      </c>
      <c r="K47" s="36"/>
      <c r="L47" s="36">
        <f>(112+154)/2</f>
        <v>133</v>
      </c>
      <c r="M47" s="36"/>
      <c r="N47" s="36">
        <f>(118+140)/2</f>
        <v>129</v>
      </c>
      <c r="O47" s="36"/>
      <c r="P47" s="36">
        <f>(94+124)/2</f>
        <v>109</v>
      </c>
      <c r="Q47" s="36"/>
      <c r="R47" s="36">
        <f>(79+111)/2</f>
        <v>95</v>
      </c>
      <c r="S47" s="14"/>
      <c r="T47" s="36">
        <f>(81+116)/2</f>
        <v>98.5</v>
      </c>
      <c r="U47" s="36"/>
      <c r="V47" s="36">
        <f>(84+128)/2</f>
        <v>106</v>
      </c>
      <c r="W47" s="36"/>
      <c r="X47" s="36">
        <f>(92+134)/2</f>
        <v>113</v>
      </c>
      <c r="Y47" s="36"/>
      <c r="Z47" s="36">
        <f>(85+127)/2</f>
        <v>106</v>
      </c>
      <c r="AA47" s="36"/>
      <c r="AB47" s="36">
        <f>(90+118)/2</f>
        <v>104</v>
      </c>
      <c r="AC47" s="36"/>
      <c r="AD47" s="36">
        <f>(90+112)/2</f>
        <v>101</v>
      </c>
      <c r="AE47" s="36"/>
      <c r="AF47" s="36">
        <f>(65+106)/2</f>
        <v>85.5</v>
      </c>
      <c r="AG47" s="26">
        <v>38688</v>
      </c>
      <c r="AH47" t="s">
        <v>18</v>
      </c>
      <c r="AI47" s="66">
        <f t="shared" si="1"/>
        <v>1636</v>
      </c>
      <c r="AJ47" s="15"/>
      <c r="AK47" s="44">
        <v>61</v>
      </c>
      <c r="AM47" s="51">
        <v>203</v>
      </c>
      <c r="AN47" s="44"/>
      <c r="AO47" s="58">
        <v>327</v>
      </c>
      <c r="AP47" s="44"/>
      <c r="AQ47" s="44">
        <v>191</v>
      </c>
      <c r="AR47" s="44"/>
      <c r="AS47" s="44">
        <v>86</v>
      </c>
      <c r="AT47" s="44"/>
      <c r="AU47" s="44">
        <v>31</v>
      </c>
      <c r="AW47" s="44">
        <v>10</v>
      </c>
      <c r="AX47" s="14"/>
      <c r="AY47" s="44">
        <v>55</v>
      </c>
      <c r="AZ47" s="44"/>
      <c r="BA47" s="44">
        <v>200</v>
      </c>
      <c r="BB47" s="44"/>
      <c r="BC47" s="58">
        <v>246</v>
      </c>
      <c r="BD47" s="44"/>
      <c r="BE47" s="44">
        <v>127</v>
      </c>
      <c r="BF47" s="44"/>
      <c r="BG47" s="44">
        <v>57</v>
      </c>
      <c r="BH47" s="44"/>
      <c r="BI47" s="44">
        <v>33</v>
      </c>
      <c r="BJ47" s="44"/>
      <c r="BK47" s="44">
        <v>9</v>
      </c>
    </row>
    <row r="48" spans="1:63" ht="12.75">
      <c r="A48">
        <v>43</v>
      </c>
      <c r="B48" s="26">
        <v>38695</v>
      </c>
      <c r="C48" t="s">
        <v>18</v>
      </c>
      <c r="D48" s="75">
        <v>1650</v>
      </c>
      <c r="E48" s="15"/>
      <c r="F48" s="36">
        <f>(92+149)/2</f>
        <v>120.5</v>
      </c>
      <c r="G48" s="37"/>
      <c r="H48" s="36">
        <f>(110+146)/2</f>
        <v>128</v>
      </c>
      <c r="I48" s="36"/>
      <c r="J48" s="36">
        <f>(115+145)/2</f>
        <v>130</v>
      </c>
      <c r="K48" s="36"/>
      <c r="L48" s="36">
        <f>(117+145)/2</f>
        <v>131</v>
      </c>
      <c r="M48" s="36"/>
      <c r="N48" s="36">
        <f>(110+136)/2</f>
        <v>123</v>
      </c>
      <c r="O48" s="36"/>
      <c r="P48" s="36">
        <f>(115+127)/2</f>
        <v>121</v>
      </c>
      <c r="Q48" s="36"/>
      <c r="R48" s="36">
        <f>(60+119)/2</f>
        <v>89.5</v>
      </c>
      <c r="S48" s="14"/>
      <c r="T48" s="36">
        <f>(82+117)/2</f>
        <v>99.5</v>
      </c>
      <c r="U48" s="36"/>
      <c r="V48" s="36">
        <f>(94+133)/2</f>
        <v>113.5</v>
      </c>
      <c r="W48" s="36"/>
      <c r="X48" s="36">
        <f>(114+133)/2</f>
        <v>123.5</v>
      </c>
      <c r="Y48" s="36"/>
      <c r="Z48" s="36">
        <f>(108+129)/2</f>
        <v>118.5</v>
      </c>
      <c r="AA48" s="36"/>
      <c r="AB48" s="36">
        <f>(109+123)/2</f>
        <v>116</v>
      </c>
      <c r="AC48" s="36"/>
      <c r="AD48" s="36">
        <f>(106+117)/2</f>
        <v>111.5</v>
      </c>
      <c r="AE48" s="36"/>
      <c r="AF48" s="36">
        <f>(80+110)/2</f>
        <v>95</v>
      </c>
      <c r="AG48" s="26">
        <v>38695</v>
      </c>
      <c r="AH48" t="s">
        <v>18</v>
      </c>
      <c r="AI48" s="66">
        <f t="shared" si="1"/>
        <v>1639</v>
      </c>
      <c r="AJ48" s="15"/>
      <c r="AK48" s="44">
        <v>49</v>
      </c>
      <c r="AM48" s="51">
        <v>199</v>
      </c>
      <c r="AN48" s="44"/>
      <c r="AO48" s="58">
        <v>304</v>
      </c>
      <c r="AP48" s="44"/>
      <c r="AQ48" s="44">
        <v>188</v>
      </c>
      <c r="AR48" s="44"/>
      <c r="AS48" s="44">
        <v>111</v>
      </c>
      <c r="AT48" s="44"/>
      <c r="AU48" s="44">
        <v>27</v>
      </c>
      <c r="AW48" s="44">
        <v>10</v>
      </c>
      <c r="AX48" s="14"/>
      <c r="AY48" s="44">
        <v>69</v>
      </c>
      <c r="AZ48" s="44"/>
      <c r="BA48" s="44">
        <v>156</v>
      </c>
      <c r="BB48" s="44"/>
      <c r="BC48" s="58">
        <v>278</v>
      </c>
      <c r="BD48" s="44"/>
      <c r="BE48" s="44">
        <v>149</v>
      </c>
      <c r="BF48" s="44"/>
      <c r="BG48" s="44">
        <v>62</v>
      </c>
      <c r="BH48" s="44"/>
      <c r="BI48" s="44">
        <v>22</v>
      </c>
      <c r="BJ48" s="44"/>
      <c r="BK48" s="44">
        <v>15</v>
      </c>
    </row>
    <row r="49" spans="2:50" ht="12.75">
      <c r="B49" s="26"/>
      <c r="C49" s="69" t="s">
        <v>49</v>
      </c>
      <c r="D49" s="73"/>
      <c r="E49" s="15"/>
      <c r="F49" s="73"/>
      <c r="G49" s="3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14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6"/>
      <c r="AX49" s="74"/>
    </row>
    <row r="50" spans="2:63" ht="12.75">
      <c r="B50" s="17" t="s">
        <v>65</v>
      </c>
      <c r="C50" s="64">
        <v>38586</v>
      </c>
      <c r="E50" s="15"/>
      <c r="F50" s="59">
        <v>132.67</v>
      </c>
      <c r="G50" s="37"/>
      <c r="H50" s="59">
        <v>136</v>
      </c>
      <c r="I50" s="59"/>
      <c r="J50" s="59">
        <v>138.53</v>
      </c>
      <c r="K50" s="59"/>
      <c r="L50" s="59">
        <v>135.51</v>
      </c>
      <c r="M50" s="59"/>
      <c r="N50" s="59">
        <v>130.13</v>
      </c>
      <c r="O50" s="59"/>
      <c r="P50" s="59">
        <v>118.39</v>
      </c>
      <c r="Q50" s="59"/>
      <c r="R50" s="59">
        <v>105.72</v>
      </c>
      <c r="S50" s="14"/>
      <c r="T50" s="59">
        <v>121.67</v>
      </c>
      <c r="U50" s="59"/>
      <c r="V50" s="59">
        <v>122.74</v>
      </c>
      <c r="W50" s="59"/>
      <c r="X50" s="59">
        <v>118.32</v>
      </c>
      <c r="Y50" s="59"/>
      <c r="Z50" s="59">
        <v>115.12</v>
      </c>
      <c r="AA50" s="59"/>
      <c r="AB50" s="59">
        <v>112.35</v>
      </c>
      <c r="AC50" s="59"/>
      <c r="AD50" s="59">
        <v>107.97</v>
      </c>
      <c r="AE50" s="59" t="s">
        <v>55</v>
      </c>
      <c r="AF50" s="59">
        <v>94.54</v>
      </c>
      <c r="AG50" s="26"/>
      <c r="AI50" s="24" t="s">
        <v>61</v>
      </c>
      <c r="AJ50" s="15"/>
      <c r="AK50" s="44"/>
      <c r="AL50" s="51"/>
      <c r="AM50" s="44"/>
      <c r="AN50" s="44"/>
      <c r="AO50" s="44"/>
      <c r="AP50" s="44"/>
      <c r="AQ50" s="58"/>
      <c r="AR50" s="44"/>
      <c r="AS50" s="44"/>
      <c r="AT50" s="44"/>
      <c r="AU50" s="44"/>
      <c r="AV50" s="44"/>
      <c r="AW50" s="44"/>
      <c r="AX50" s="1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</row>
    <row r="51" spans="3:63" ht="14.25">
      <c r="C51" s="64">
        <v>38593</v>
      </c>
      <c r="E51" s="15"/>
      <c r="F51" s="59">
        <v>149.31</v>
      </c>
      <c r="G51" s="60"/>
      <c r="H51" s="59">
        <v>140.27</v>
      </c>
      <c r="I51" s="59"/>
      <c r="J51" s="59">
        <v>138.67</v>
      </c>
      <c r="K51" s="59"/>
      <c r="L51" s="59">
        <v>135.69</v>
      </c>
      <c r="M51" s="59"/>
      <c r="N51" s="59">
        <v>130.74</v>
      </c>
      <c r="O51" s="59"/>
      <c r="P51" s="59">
        <v>123.95</v>
      </c>
      <c r="Q51" s="59"/>
      <c r="R51" s="59">
        <v>108.65</v>
      </c>
      <c r="S51" s="14"/>
      <c r="T51" s="59">
        <v>122.12</v>
      </c>
      <c r="U51" s="59"/>
      <c r="V51" s="59">
        <v>119.06</v>
      </c>
      <c r="W51" s="59"/>
      <c r="X51" s="59">
        <v>123.25</v>
      </c>
      <c r="Y51" s="59"/>
      <c r="Z51" s="59">
        <v>119.47</v>
      </c>
      <c r="AA51" s="59"/>
      <c r="AB51" s="59">
        <v>113.55</v>
      </c>
      <c r="AC51" s="59"/>
      <c r="AD51" s="59">
        <v>105.2</v>
      </c>
      <c r="AE51" s="59"/>
      <c r="AF51" s="59">
        <v>93.04</v>
      </c>
      <c r="AH51" s="17" t="s">
        <v>43</v>
      </c>
      <c r="AI51" s="19">
        <f>SUM(AI6:AI50)</f>
        <v>50242</v>
      </c>
      <c r="AJ51" s="6"/>
      <c r="AK51" s="54">
        <f>SUM(AK6:AK50)</f>
        <v>1511</v>
      </c>
      <c r="AL51" s="52"/>
      <c r="AM51" s="54">
        <f>SUM(AM6:AM50)</f>
        <v>5536</v>
      </c>
      <c r="AN51" s="52"/>
      <c r="AO51" s="54">
        <f>SUM(AO6:AO50)</f>
        <v>9010</v>
      </c>
      <c r="AP51" s="52"/>
      <c r="AQ51" s="54">
        <f>SUM(AQ6:AQ50)</f>
        <v>7638</v>
      </c>
      <c r="AR51" s="52"/>
      <c r="AS51" s="54">
        <f>SUM(AS6:AS50)</f>
        <v>3821</v>
      </c>
      <c r="AT51" s="52"/>
      <c r="AU51" s="54">
        <f>SUM(AU6:AU50)</f>
        <v>1248</v>
      </c>
      <c r="AV51" s="52"/>
      <c r="AW51" s="54">
        <f>SUM(AW6:AW50)</f>
        <v>348</v>
      </c>
      <c r="AX51" s="30"/>
      <c r="AY51" s="54">
        <f>SUM(AY6:AY50)</f>
        <v>1541</v>
      </c>
      <c r="AZ51" s="28"/>
      <c r="BA51" s="54">
        <f>SUM(BA6:BA50)</f>
        <v>5409</v>
      </c>
      <c r="BB51" s="28"/>
      <c r="BC51" s="54">
        <f>SUM(BC6:BC50)</f>
        <v>7542</v>
      </c>
      <c r="BD51" s="28"/>
      <c r="BE51" s="54">
        <f>SUM(BE6:BE50)</f>
        <v>4923</v>
      </c>
      <c r="BF51" s="28"/>
      <c r="BG51" s="54">
        <f>SUM(BG6:BG50)</f>
        <v>1862</v>
      </c>
      <c r="BH51" s="28"/>
      <c r="BI51" s="54">
        <f>SUM(BI6:BI50)</f>
        <v>552</v>
      </c>
      <c r="BJ51" s="28"/>
      <c r="BK51" s="54">
        <f>SUM(BK6:BK50)</f>
        <v>201</v>
      </c>
    </row>
    <row r="52" spans="3:63" ht="12.75">
      <c r="C52" s="64">
        <v>38600</v>
      </c>
      <c r="E52" s="15"/>
      <c r="F52" s="59">
        <v>133.82</v>
      </c>
      <c r="G52" s="60"/>
      <c r="H52" s="59">
        <v>145.72</v>
      </c>
      <c r="I52" s="59"/>
      <c r="J52" s="59">
        <v>136.61</v>
      </c>
      <c r="K52" s="59"/>
      <c r="L52" s="59">
        <v>131.61</v>
      </c>
      <c r="M52" s="59"/>
      <c r="N52" s="59">
        <v>126.41</v>
      </c>
      <c r="O52" s="59"/>
      <c r="P52" s="59">
        <v>117.1</v>
      </c>
      <c r="Q52" s="59"/>
      <c r="R52" s="59">
        <v>104.31</v>
      </c>
      <c r="S52" s="14"/>
      <c r="T52" s="59">
        <v>108.18</v>
      </c>
      <c r="U52" s="59"/>
      <c r="V52" s="59">
        <v>120.62</v>
      </c>
      <c r="W52" s="59"/>
      <c r="X52" s="59">
        <v>115.82</v>
      </c>
      <c r="Y52" s="59"/>
      <c r="Z52" s="59">
        <v>113.73</v>
      </c>
      <c r="AA52" s="59"/>
      <c r="AB52" s="59">
        <v>116.64</v>
      </c>
      <c r="AD52" s="59">
        <v>103.08</v>
      </c>
      <c r="AE52" s="59"/>
      <c r="AF52" s="59">
        <v>90.58</v>
      </c>
      <c r="AH52" s="57"/>
      <c r="AJ52" s="8"/>
      <c r="AK52" s="55"/>
      <c r="AL52" s="8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6"/>
      <c r="AX52" s="8"/>
      <c r="AY52" s="55"/>
      <c r="AZ52" s="8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</row>
    <row r="53" spans="3:63" ht="12.75">
      <c r="C53" s="64">
        <v>38607</v>
      </c>
      <c r="E53" s="15"/>
      <c r="F53" s="59">
        <v>134.76</v>
      </c>
      <c r="G53" s="60"/>
      <c r="H53" s="59">
        <v>141.3</v>
      </c>
      <c r="I53" s="59"/>
      <c r="J53" s="59">
        <v>137.09</v>
      </c>
      <c r="K53" s="59"/>
      <c r="L53" s="59">
        <v>131.51</v>
      </c>
      <c r="M53" s="59"/>
      <c r="N53" s="59">
        <v>128.1</v>
      </c>
      <c r="O53" s="59"/>
      <c r="P53" s="59">
        <v>122.76</v>
      </c>
      <c r="Q53" s="59"/>
      <c r="R53" s="59">
        <v>100.95</v>
      </c>
      <c r="S53" s="14"/>
      <c r="T53" s="59">
        <v>111.34</v>
      </c>
      <c r="U53" s="59"/>
      <c r="V53" s="59">
        <v>124.39</v>
      </c>
      <c r="W53" s="59"/>
      <c r="X53" s="59">
        <v>123.28</v>
      </c>
      <c r="Y53" s="59"/>
      <c r="Z53" s="59">
        <v>117.71</v>
      </c>
      <c r="AA53" s="59"/>
      <c r="AB53" s="59">
        <v>112.91</v>
      </c>
      <c r="AC53" s="59"/>
      <c r="AD53" s="59">
        <v>104.34</v>
      </c>
      <c r="AE53" s="59"/>
      <c r="AF53" s="59">
        <v>75.89</v>
      </c>
      <c r="AH53" s="57" t="s">
        <v>44</v>
      </c>
      <c r="AI53" s="53">
        <f>SUM(AK51:AW51)</f>
        <v>29112</v>
      </c>
      <c r="AJ53" s="8"/>
      <c r="AK53" s="55">
        <f>AK51/$AI$53</f>
        <v>0.05190299532838692</v>
      </c>
      <c r="AL53" s="8"/>
      <c r="AM53" s="55">
        <f>AM51/$AI$53</f>
        <v>0.19016213245397087</v>
      </c>
      <c r="AN53" s="55"/>
      <c r="AO53" s="67">
        <f>AO51/$AI$53</f>
        <v>0.3094943665842264</v>
      </c>
      <c r="AP53" s="55"/>
      <c r="AQ53" s="70">
        <f>AQ51/$AI$53</f>
        <v>0.26236603462489694</v>
      </c>
      <c r="AR53" s="55"/>
      <c r="AS53" s="55">
        <f>AS51/$AI$53</f>
        <v>0.13125171750480902</v>
      </c>
      <c r="AT53" s="55"/>
      <c r="AU53" s="55">
        <f>AU51/$AI$53</f>
        <v>0.04286892003297609</v>
      </c>
      <c r="AV53" s="55"/>
      <c r="AW53" s="56">
        <f>AW51/$AI$53</f>
        <v>0.011953833470733718</v>
      </c>
      <c r="AX53" s="55"/>
      <c r="AY53" s="55">
        <f>AY51/$AI$54</f>
        <v>0.06995006808896959</v>
      </c>
      <c r="AZ53" s="55"/>
      <c r="BA53" s="55">
        <f>BA51/$AI$54</f>
        <v>0.24552882433045847</v>
      </c>
      <c r="BB53" s="55"/>
      <c r="BC53" s="67">
        <f>BC51/$AI$54</f>
        <v>0.34235133908306853</v>
      </c>
      <c r="BD53" s="55"/>
      <c r="BE53" s="70">
        <f>BE51/$AI$54</f>
        <v>0.22346799818429414</v>
      </c>
      <c r="BF53" s="55"/>
      <c r="BG53" s="55">
        <f>BG51/$AI$54</f>
        <v>0.08452110758057195</v>
      </c>
      <c r="BH53" s="55"/>
      <c r="BI53" s="55">
        <f>BI51/$AI$54</f>
        <v>0.025056740807989107</v>
      </c>
      <c r="BJ53" s="55"/>
      <c r="BK53" s="55">
        <f>BK51/$AI$54</f>
        <v>0.009123921924648207</v>
      </c>
    </row>
    <row r="54" spans="3:63" ht="12.75">
      <c r="C54" s="64">
        <v>38614</v>
      </c>
      <c r="E54" s="15"/>
      <c r="F54" s="59">
        <v>151.41</v>
      </c>
      <c r="G54" s="59" t="s">
        <v>55</v>
      </c>
      <c r="H54" s="59">
        <v>145.78</v>
      </c>
      <c r="J54" s="59">
        <v>140.38</v>
      </c>
      <c r="L54" s="59">
        <v>139.41</v>
      </c>
      <c r="M54" s="59" t="s">
        <v>55</v>
      </c>
      <c r="N54" s="59">
        <v>134.49</v>
      </c>
      <c r="O54" s="59" t="s">
        <v>55</v>
      </c>
      <c r="P54" s="59">
        <v>127.94</v>
      </c>
      <c r="Q54" s="59" t="s">
        <v>55</v>
      </c>
      <c r="R54" s="59">
        <v>112.8</v>
      </c>
      <c r="S54" s="14"/>
      <c r="T54" s="59">
        <v>126.86</v>
      </c>
      <c r="U54" s="59" t="s">
        <v>55</v>
      </c>
      <c r="V54" s="59">
        <v>128.95</v>
      </c>
      <c r="W54" s="59" t="s">
        <v>55</v>
      </c>
      <c r="X54" s="59">
        <v>127.35</v>
      </c>
      <c r="Y54" s="59" t="s">
        <v>55</v>
      </c>
      <c r="Z54" s="59">
        <v>121.08</v>
      </c>
      <c r="AB54" s="59">
        <v>116.61</v>
      </c>
      <c r="AC54" s="59"/>
      <c r="AD54" s="59">
        <v>107.37</v>
      </c>
      <c r="AE54" s="59"/>
      <c r="AF54" s="59">
        <v>96.5</v>
      </c>
      <c r="AG54" s="8"/>
      <c r="AH54" s="57" t="s">
        <v>45</v>
      </c>
      <c r="AI54" s="53">
        <f>SUM(AY51:BK51)</f>
        <v>22030</v>
      </c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3:63" ht="12.75">
      <c r="C55" s="64">
        <v>38621</v>
      </c>
      <c r="E55" s="15"/>
      <c r="F55" s="59">
        <v>145.64</v>
      </c>
      <c r="G55" s="59"/>
      <c r="H55" s="59">
        <v>147.55</v>
      </c>
      <c r="I55" s="59" t="s">
        <v>55</v>
      </c>
      <c r="J55" s="59">
        <v>143.87</v>
      </c>
      <c r="K55" s="59" t="s">
        <v>55</v>
      </c>
      <c r="L55" s="59">
        <v>138.22</v>
      </c>
      <c r="M55" s="59"/>
      <c r="N55" s="59">
        <v>133.52</v>
      </c>
      <c r="O55" s="59"/>
      <c r="P55" s="59">
        <v>121.24</v>
      </c>
      <c r="Q55" s="59"/>
      <c r="R55" s="59">
        <v>95.41</v>
      </c>
      <c r="S55" s="14"/>
      <c r="T55" s="59">
        <v>123.61</v>
      </c>
      <c r="U55" s="59"/>
      <c r="V55" s="59">
        <v>125.93</v>
      </c>
      <c r="W55" s="59"/>
      <c r="X55" s="59">
        <v>124.35</v>
      </c>
      <c r="Y55" s="59"/>
      <c r="Z55" s="59">
        <v>121.43</v>
      </c>
      <c r="AA55" s="59" t="s">
        <v>55</v>
      </c>
      <c r="AB55" s="59">
        <v>117.23</v>
      </c>
      <c r="AC55" s="59" t="s">
        <v>55</v>
      </c>
      <c r="AD55" s="59">
        <v>109.41</v>
      </c>
      <c r="AE55" s="59"/>
      <c r="AF55" s="59">
        <v>100.86</v>
      </c>
      <c r="AG55" s="8"/>
      <c r="AH55" s="57"/>
      <c r="AI55" s="53">
        <f>+AI53+AI54</f>
        <v>51142</v>
      </c>
      <c r="AJ55" s="8"/>
      <c r="AK55" s="4" t="s">
        <v>60</v>
      </c>
      <c r="AL55" s="5"/>
      <c r="AM55" s="4" t="s">
        <v>5</v>
      </c>
      <c r="AN55" s="5"/>
      <c r="AO55" s="4" t="s">
        <v>6</v>
      </c>
      <c r="AP55" s="5"/>
      <c r="AQ55" s="4" t="s">
        <v>7</v>
      </c>
      <c r="AR55" s="5"/>
      <c r="AS55" s="4" t="s">
        <v>8</v>
      </c>
      <c r="AT55" s="5"/>
      <c r="AU55" s="16" t="s">
        <v>9</v>
      </c>
      <c r="AV55" s="11" t="s">
        <v>10</v>
      </c>
      <c r="AX55" s="14"/>
      <c r="AY55" s="4" t="s">
        <v>60</v>
      </c>
      <c r="AZ55" s="5"/>
      <c r="BA55" s="4" t="s">
        <v>5</v>
      </c>
      <c r="BB55" s="5"/>
      <c r="BC55" s="4" t="s">
        <v>6</v>
      </c>
      <c r="BD55" s="5"/>
      <c r="BE55" s="4" t="s">
        <v>11</v>
      </c>
      <c r="BF55" s="5"/>
      <c r="BG55" s="17" t="s">
        <v>8</v>
      </c>
      <c r="BH55" s="20" t="s">
        <v>12</v>
      </c>
      <c r="BI55" s="20"/>
      <c r="BK55" s="17" t="s">
        <v>13</v>
      </c>
    </row>
    <row r="56" spans="3:63" ht="12.75">
      <c r="C56" s="64">
        <v>38628</v>
      </c>
      <c r="E56" s="15"/>
      <c r="F56" s="59">
        <v>144.7</v>
      </c>
      <c r="G56" s="59"/>
      <c r="H56" s="59">
        <v>144.85</v>
      </c>
      <c r="I56" s="59"/>
      <c r="J56" s="59">
        <v>141.72</v>
      </c>
      <c r="K56" s="59"/>
      <c r="L56" s="59">
        <v>136.82</v>
      </c>
      <c r="M56" s="59"/>
      <c r="N56" s="59">
        <v>130.87</v>
      </c>
      <c r="O56" s="59"/>
      <c r="P56" s="59">
        <v>121.69</v>
      </c>
      <c r="Q56" s="59"/>
      <c r="R56" s="59">
        <v>94.5</v>
      </c>
      <c r="S56" s="14"/>
      <c r="T56" s="59">
        <v>118.42</v>
      </c>
      <c r="U56" s="59"/>
      <c r="V56" s="59">
        <v>123.48</v>
      </c>
      <c r="W56" s="59"/>
      <c r="X56" s="59">
        <v>122.72</v>
      </c>
      <c r="Y56" s="59"/>
      <c r="Z56" s="59">
        <v>117.28</v>
      </c>
      <c r="AA56" s="59"/>
      <c r="AB56" s="59">
        <v>113.81</v>
      </c>
      <c r="AC56" s="59"/>
      <c r="AD56" s="59">
        <v>109.08</v>
      </c>
      <c r="AE56" s="59"/>
      <c r="AF56" s="59">
        <v>81.06</v>
      </c>
      <c r="AG56" s="8"/>
      <c r="AH56" s="57"/>
      <c r="AI56" s="53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3:63" ht="12.75">
      <c r="C57" s="64">
        <v>38635</v>
      </c>
      <c r="E57" s="15"/>
      <c r="F57" s="59">
        <v>145.45</v>
      </c>
      <c r="G57" s="59"/>
      <c r="H57" s="59">
        <v>146.06</v>
      </c>
      <c r="I57" s="59"/>
      <c r="J57" s="59">
        <v>140.01</v>
      </c>
      <c r="K57" s="59"/>
      <c r="L57" s="59">
        <v>135.31</v>
      </c>
      <c r="M57" s="59"/>
      <c r="N57" s="59">
        <v>127.33</v>
      </c>
      <c r="O57" s="59"/>
      <c r="P57" s="59">
        <v>116.95</v>
      </c>
      <c r="Q57" s="59"/>
      <c r="R57" s="59">
        <v>94.31</v>
      </c>
      <c r="S57" s="14"/>
      <c r="T57" s="59">
        <v>116.98</v>
      </c>
      <c r="U57" s="59"/>
      <c r="V57" s="59">
        <v>127.89</v>
      </c>
      <c r="W57" s="59"/>
      <c r="X57" s="59">
        <v>124.29</v>
      </c>
      <c r="Y57" s="59"/>
      <c r="Z57" s="59">
        <v>117.29</v>
      </c>
      <c r="AA57" s="59"/>
      <c r="AB57" s="59">
        <v>111.49</v>
      </c>
      <c r="AC57" s="59"/>
      <c r="AD57" s="59">
        <v>85.79</v>
      </c>
      <c r="AE57" s="59"/>
      <c r="AF57" s="59">
        <v>78.43</v>
      </c>
      <c r="AG57" s="8"/>
      <c r="AH57" s="57"/>
      <c r="AI57" s="53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3:63" ht="12.75">
      <c r="C58" s="64">
        <v>38642</v>
      </c>
      <c r="E58" s="15"/>
      <c r="F58" s="59">
        <v>131.33</v>
      </c>
      <c r="G58" s="59"/>
      <c r="H58" s="59">
        <v>140.71</v>
      </c>
      <c r="I58" s="59"/>
      <c r="J58" s="59">
        <v>136.5</v>
      </c>
      <c r="K58" s="59"/>
      <c r="L58" s="59">
        <v>130.45</v>
      </c>
      <c r="M58" s="59"/>
      <c r="N58" s="59">
        <v>122.64</v>
      </c>
      <c r="O58" s="59"/>
      <c r="P58" s="59">
        <v>119.76</v>
      </c>
      <c r="Q58" s="59"/>
      <c r="R58" s="59">
        <v>93.88</v>
      </c>
      <c r="S58" s="14"/>
      <c r="T58" s="59">
        <v>107.02</v>
      </c>
      <c r="U58" s="59"/>
      <c r="V58" s="59">
        <v>118.79</v>
      </c>
      <c r="W58" s="59"/>
      <c r="X58" s="59">
        <v>117.01</v>
      </c>
      <c r="Y58" s="59"/>
      <c r="Z58" s="59">
        <v>114.57</v>
      </c>
      <c r="AA58" s="59"/>
      <c r="AB58" s="59">
        <v>109.26</v>
      </c>
      <c r="AC58" s="59"/>
      <c r="AD58" s="59">
        <v>100.09</v>
      </c>
      <c r="AE58" s="59"/>
      <c r="AF58" s="59">
        <v>82</v>
      </c>
      <c r="AG58" s="8"/>
      <c r="AH58" s="57"/>
      <c r="AI58" s="53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3:63" ht="12.75">
      <c r="C59" s="64">
        <v>38649</v>
      </c>
      <c r="E59" s="15"/>
      <c r="F59" s="59">
        <v>126.6</v>
      </c>
      <c r="G59" s="59"/>
      <c r="H59" s="59">
        <v>137.53</v>
      </c>
      <c r="I59" s="59"/>
      <c r="J59" s="59">
        <v>130.61</v>
      </c>
      <c r="K59" s="59"/>
      <c r="L59" s="59">
        <v>129.42</v>
      </c>
      <c r="M59" s="59"/>
      <c r="N59" s="59">
        <v>124.32</v>
      </c>
      <c r="O59" s="59"/>
      <c r="P59" s="59">
        <v>117.24</v>
      </c>
      <c r="Q59" s="59"/>
      <c r="R59" s="59">
        <v>111.14</v>
      </c>
      <c r="S59" s="14"/>
      <c r="T59" s="59">
        <v>108.23</v>
      </c>
      <c r="U59" s="59"/>
      <c r="V59" s="59">
        <v>120.18</v>
      </c>
      <c r="W59" s="59"/>
      <c r="X59" s="59">
        <v>118.5</v>
      </c>
      <c r="Y59" s="59"/>
      <c r="Z59" s="59">
        <v>115.52</v>
      </c>
      <c r="AA59" s="59"/>
      <c r="AB59" s="59">
        <v>110.19</v>
      </c>
      <c r="AC59" s="59"/>
      <c r="AD59" s="59">
        <v>108.05</v>
      </c>
      <c r="AE59" s="59"/>
      <c r="AF59" s="59">
        <v>102.83</v>
      </c>
      <c r="AG59" s="8"/>
      <c r="AH59" s="57"/>
      <c r="AI59" s="53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3:63" ht="12.75">
      <c r="C60" s="64">
        <v>38656</v>
      </c>
      <c r="E60" s="15"/>
      <c r="F60" s="59">
        <v>120.47</v>
      </c>
      <c r="G60" s="59"/>
      <c r="H60" s="59">
        <v>134.3</v>
      </c>
      <c r="I60" s="59"/>
      <c r="J60" s="59">
        <v>124.61</v>
      </c>
      <c r="K60" s="59"/>
      <c r="L60" s="59">
        <v>121.85</v>
      </c>
      <c r="M60" s="59"/>
      <c r="N60" s="59">
        <v>113.45</v>
      </c>
      <c r="O60" s="59"/>
      <c r="P60" s="59">
        <v>102.28</v>
      </c>
      <c r="Q60" s="59"/>
      <c r="R60" s="59">
        <v>85.78</v>
      </c>
      <c r="S60" s="14"/>
      <c r="T60" s="59">
        <v>97.58</v>
      </c>
      <c r="U60" s="59"/>
      <c r="V60" s="59">
        <v>114.24</v>
      </c>
      <c r="W60" s="59"/>
      <c r="X60" s="59">
        <v>110.87</v>
      </c>
      <c r="Y60" s="59"/>
      <c r="Z60" s="59">
        <v>105.5</v>
      </c>
      <c r="AA60" s="59"/>
      <c r="AB60" s="59">
        <v>98.37</v>
      </c>
      <c r="AC60" s="59"/>
      <c r="AD60" s="59">
        <v>83.23</v>
      </c>
      <c r="AE60" s="59"/>
      <c r="AF60" s="59">
        <v>76.33</v>
      </c>
      <c r="AG60" s="8"/>
      <c r="AH60" s="57"/>
      <c r="AI60" s="53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3:63" ht="12.75">
      <c r="C61" s="64">
        <v>38663</v>
      </c>
      <c r="E61" s="15"/>
      <c r="F61" s="59">
        <v>110.63</v>
      </c>
      <c r="G61" s="59"/>
      <c r="H61" s="59">
        <v>127.86</v>
      </c>
      <c r="I61" s="59"/>
      <c r="J61" s="59">
        <v>128.68</v>
      </c>
      <c r="K61" s="59"/>
      <c r="L61" s="59">
        <v>125.67</v>
      </c>
      <c r="M61" s="59"/>
      <c r="N61" s="59">
        <v>122.67</v>
      </c>
      <c r="O61" s="59"/>
      <c r="P61" s="59">
        <v>108.66</v>
      </c>
      <c r="Q61" s="59"/>
      <c r="R61" s="59">
        <v>93.31</v>
      </c>
      <c r="S61" s="14"/>
      <c r="T61" s="59">
        <v>91.51</v>
      </c>
      <c r="U61" s="59"/>
      <c r="V61" s="59">
        <v>104.4</v>
      </c>
      <c r="X61" s="59">
        <v>104.71</v>
      </c>
      <c r="Y61" s="59"/>
      <c r="Z61" s="59">
        <v>108.04</v>
      </c>
      <c r="AA61" s="59"/>
      <c r="AB61" s="59">
        <v>104.89</v>
      </c>
      <c r="AC61" s="59"/>
      <c r="AD61" s="59">
        <v>95.19</v>
      </c>
      <c r="AE61" s="59"/>
      <c r="AF61" s="59">
        <v>80.88</v>
      </c>
      <c r="AG61" s="8"/>
      <c r="AH61" s="57"/>
      <c r="AI61" s="53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3:63" ht="12.75">
      <c r="C62" s="64">
        <v>38670</v>
      </c>
      <c r="E62" s="15"/>
      <c r="F62" s="59">
        <v>106.21</v>
      </c>
      <c r="G62" s="59"/>
      <c r="H62" s="59">
        <v>129.86</v>
      </c>
      <c r="I62" s="59"/>
      <c r="J62" s="59">
        <v>130.44</v>
      </c>
      <c r="K62" s="59"/>
      <c r="L62" s="59">
        <v>129.3</v>
      </c>
      <c r="M62" s="59"/>
      <c r="N62" s="59">
        <v>121.61</v>
      </c>
      <c r="O62" s="59"/>
      <c r="P62" s="59">
        <v>111.85</v>
      </c>
      <c r="Q62" s="59"/>
      <c r="R62" s="59">
        <v>93.07</v>
      </c>
      <c r="S62" s="14"/>
      <c r="T62" s="59">
        <v>88.8</v>
      </c>
      <c r="U62" s="59"/>
      <c r="V62" s="59">
        <v>105.7</v>
      </c>
      <c r="X62" s="59">
        <v>113.48</v>
      </c>
      <c r="Y62" s="59"/>
      <c r="Z62" s="59">
        <v>113.52</v>
      </c>
      <c r="AA62" s="59"/>
      <c r="AB62" s="59">
        <v>107.45</v>
      </c>
      <c r="AC62" s="59"/>
      <c r="AD62" s="59">
        <v>96.95</v>
      </c>
      <c r="AE62" s="59"/>
      <c r="AF62" s="59">
        <v>80.5</v>
      </c>
      <c r="AG62" s="8"/>
      <c r="AH62" s="57"/>
      <c r="AI62" s="53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3:63" ht="12.75">
      <c r="C63" s="64">
        <v>38677</v>
      </c>
      <c r="E63" s="15"/>
      <c r="F63" s="59">
        <v>100.09</v>
      </c>
      <c r="G63" s="59"/>
      <c r="H63" s="59">
        <v>125.63</v>
      </c>
      <c r="I63" s="59"/>
      <c r="J63" s="76">
        <v>137.74</v>
      </c>
      <c r="K63" s="59"/>
      <c r="L63" s="76">
        <v>134.05</v>
      </c>
      <c r="M63" s="59"/>
      <c r="N63" s="76">
        <v>128.58</v>
      </c>
      <c r="O63" s="59"/>
      <c r="P63" s="76">
        <v>118.63</v>
      </c>
      <c r="Q63" s="59"/>
      <c r="R63" s="59">
        <v>75</v>
      </c>
      <c r="S63" s="14"/>
      <c r="T63" s="59">
        <v>88.56</v>
      </c>
      <c r="U63" s="59"/>
      <c r="V63" s="59">
        <v>102.45</v>
      </c>
      <c r="X63" s="59">
        <v>115.27</v>
      </c>
      <c r="Y63" s="59"/>
      <c r="Z63" s="76">
        <v>116.35</v>
      </c>
      <c r="AA63" s="59"/>
      <c r="AB63" s="59">
        <v>109.32</v>
      </c>
      <c r="AC63" s="59"/>
      <c r="AD63" s="59">
        <v>98.79</v>
      </c>
      <c r="AE63" s="59"/>
      <c r="AF63" s="76">
        <v>87.44</v>
      </c>
      <c r="AG63" s="8"/>
      <c r="AH63" s="57"/>
      <c r="AI63" s="53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3:63" ht="12.75">
      <c r="C64" s="64">
        <v>38684</v>
      </c>
      <c r="E64" s="15"/>
      <c r="F64" s="59">
        <v>107.89</v>
      </c>
      <c r="G64" s="59"/>
      <c r="H64" s="59">
        <v>128.3</v>
      </c>
      <c r="I64" s="59"/>
      <c r="J64" s="76">
        <v>142.84</v>
      </c>
      <c r="K64" s="59"/>
      <c r="L64" s="76">
        <v>138.98</v>
      </c>
      <c r="M64" s="59"/>
      <c r="N64" s="76">
        <v>130.08</v>
      </c>
      <c r="O64" s="59"/>
      <c r="P64" s="59">
        <v>114.56</v>
      </c>
      <c r="Q64" s="59"/>
      <c r="R64" s="76">
        <v>97.78</v>
      </c>
      <c r="S64" s="14"/>
      <c r="T64" s="59">
        <v>95.04</v>
      </c>
      <c r="U64" s="59"/>
      <c r="V64" s="59">
        <v>109.09</v>
      </c>
      <c r="X64" s="76">
        <v>123.32</v>
      </c>
      <c r="Y64" s="59"/>
      <c r="Z64" s="76">
        <v>117.28</v>
      </c>
      <c r="AA64" s="59"/>
      <c r="AB64" s="59">
        <v>110.76</v>
      </c>
      <c r="AC64" s="59"/>
      <c r="AD64" s="76">
        <v>104.14</v>
      </c>
      <c r="AE64" s="59"/>
      <c r="AF64" s="76">
        <v>100</v>
      </c>
      <c r="AG64" s="8"/>
      <c r="AH64" s="57"/>
      <c r="AI64" s="53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</row>
    <row r="65" spans="3:63" ht="12.75">
      <c r="C65" s="64">
        <v>38691</v>
      </c>
      <c r="E65" s="15"/>
      <c r="F65" s="59">
        <v>124.58</v>
      </c>
      <c r="G65" s="59"/>
      <c r="H65" s="59">
        <v>132.01</v>
      </c>
      <c r="I65" s="59"/>
      <c r="J65" s="59">
        <v>133.96</v>
      </c>
      <c r="K65" s="59"/>
      <c r="L65" s="76">
        <v>134.19</v>
      </c>
      <c r="M65" s="59"/>
      <c r="N65" s="76">
        <v>128.52</v>
      </c>
      <c r="O65" s="59"/>
      <c r="P65" s="76">
        <v>123.5</v>
      </c>
      <c r="Q65" s="59"/>
      <c r="R65" s="59">
        <v>94.78</v>
      </c>
      <c r="S65" s="14"/>
      <c r="T65" s="59">
        <v>100.13</v>
      </c>
      <c r="U65" s="59"/>
      <c r="V65" s="59">
        <v>114.55</v>
      </c>
      <c r="X65" s="76">
        <v>125.11</v>
      </c>
      <c r="Y65" s="59"/>
      <c r="Z65" s="76">
        <v>120.54</v>
      </c>
      <c r="AA65" s="59"/>
      <c r="AB65" s="76">
        <v>116.91</v>
      </c>
      <c r="AC65" s="59"/>
      <c r="AD65" s="76">
        <v>111.84</v>
      </c>
      <c r="AE65" s="59"/>
      <c r="AF65" s="76">
        <v>98.92</v>
      </c>
      <c r="AG65" s="8"/>
      <c r="AH65" s="57"/>
      <c r="AI65" s="53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2:63" ht="7.5" customHeight="1">
      <c r="B66" s="26"/>
      <c r="C66" s="10"/>
      <c r="I66" s="2"/>
      <c r="J66" s="22"/>
      <c r="L66" s="6"/>
      <c r="P66" s="31"/>
      <c r="Q66" s="8"/>
      <c r="R66" s="2"/>
      <c r="S66" s="13"/>
      <c r="T66" s="8"/>
      <c r="AG66" s="8"/>
      <c r="AH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2:71" ht="14.25">
      <c r="B67" s="61"/>
      <c r="C67" s="62" t="s">
        <v>48</v>
      </c>
      <c r="D67" s="19">
        <f>SUM(D6:D66)</f>
        <v>51459</v>
      </c>
      <c r="E67" s="6"/>
      <c r="F67" s="63">
        <f>AVERAGE(F50:F66)</f>
        <v>129.0975</v>
      </c>
      <c r="G67" s="19"/>
      <c r="H67" s="63">
        <f aca="true" t="shared" si="2" ref="H67:R67">AVERAGE(H50:H66)</f>
        <v>137.73312500000003</v>
      </c>
      <c r="I67" s="63"/>
      <c r="J67" s="63">
        <f t="shared" si="2"/>
        <v>136.39125</v>
      </c>
      <c r="K67" s="63"/>
      <c r="L67" s="63">
        <f t="shared" si="2"/>
        <v>132.999375</v>
      </c>
      <c r="M67" s="63"/>
      <c r="N67" s="63">
        <f t="shared" si="2"/>
        <v>127.09124999999999</v>
      </c>
      <c r="O67" s="63"/>
      <c r="P67" s="63">
        <f t="shared" si="2"/>
        <v>117.90625</v>
      </c>
      <c r="Q67" s="63"/>
      <c r="R67" s="63">
        <f t="shared" si="2"/>
        <v>97.58687499999998</v>
      </c>
      <c r="S67" s="30"/>
      <c r="T67" s="63">
        <f>AVERAGE(T50:T66)</f>
        <v>107.87812499999998</v>
      </c>
      <c r="U67" s="63"/>
      <c r="V67" s="63">
        <f>AVERAGE(V50:V66)</f>
        <v>117.65375000000002</v>
      </c>
      <c r="W67" s="63"/>
      <c r="X67" s="63">
        <f>AVERAGE(X50:X66)</f>
        <v>119.228125</v>
      </c>
      <c r="Y67" s="63"/>
      <c r="Z67" s="63">
        <f>AVERAGE(Z50:Z66)</f>
        <v>115.90187499999998</v>
      </c>
      <c r="AA67" s="63"/>
      <c r="AB67" s="63">
        <f>AVERAGE(AB50:AB66)</f>
        <v>111.35875</v>
      </c>
      <c r="AC67" s="63"/>
      <c r="AD67" s="63">
        <f>AVERAGE(AD50:AD66)</f>
        <v>101.90750000000001</v>
      </c>
      <c r="AE67" s="63"/>
      <c r="AF67" s="63">
        <f>AVERAGE(AF50:AF66)</f>
        <v>88.73750000000001</v>
      </c>
      <c r="AG67" s="8"/>
      <c r="AH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2:71" ht="17.25" customHeight="1">
      <c r="B68" s="61"/>
      <c r="C68" s="27" t="s">
        <v>3</v>
      </c>
      <c r="F68" s="4" t="s">
        <v>4</v>
      </c>
      <c r="G68" s="5"/>
      <c r="H68" s="4" t="s">
        <v>5</v>
      </c>
      <c r="I68" s="5"/>
      <c r="J68" s="4" t="s">
        <v>6</v>
      </c>
      <c r="K68" s="5"/>
      <c r="L68" s="4" t="s">
        <v>7</v>
      </c>
      <c r="M68" s="5"/>
      <c r="N68" s="4" t="s">
        <v>8</v>
      </c>
      <c r="O68" s="5"/>
      <c r="P68" s="16" t="s">
        <v>9</v>
      </c>
      <c r="Q68" s="11" t="s">
        <v>10</v>
      </c>
      <c r="S68" s="14"/>
      <c r="T68" s="16" t="s">
        <v>4</v>
      </c>
      <c r="U68" s="5"/>
      <c r="V68" s="4" t="s">
        <v>5</v>
      </c>
      <c r="W68" s="5"/>
      <c r="X68" s="4" t="s">
        <v>6</v>
      </c>
      <c r="Y68" s="5"/>
      <c r="Z68" s="4" t="s">
        <v>11</v>
      </c>
      <c r="AA68" s="5"/>
      <c r="AB68" s="17" t="s">
        <v>8</v>
      </c>
      <c r="AC68" s="20" t="s">
        <v>12</v>
      </c>
      <c r="AD68" s="11"/>
      <c r="AE68" s="11" t="s">
        <v>14</v>
      </c>
      <c r="AF68" s="11"/>
      <c r="AG68" s="8"/>
      <c r="AH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2:71" ht="6.75" customHeight="1">
      <c r="B69" s="20"/>
      <c r="C69" s="23"/>
      <c r="D69" s="19"/>
      <c r="E69" s="6"/>
      <c r="F69" s="28"/>
      <c r="G69" s="1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  <c r="S69" s="30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55"/>
      <c r="BM69" s="8"/>
      <c r="BN69" s="8"/>
      <c r="BO69" s="8"/>
      <c r="BP69" s="8"/>
      <c r="BQ69" s="8"/>
      <c r="BR69" s="8"/>
      <c r="BS69" s="8"/>
    </row>
    <row r="70" spans="2:71" ht="14.25">
      <c r="B70" s="1" t="s">
        <v>31</v>
      </c>
      <c r="C70" s="23"/>
      <c r="D70" s="19"/>
      <c r="E70" s="6"/>
      <c r="F70" s="28">
        <v>125.1</v>
      </c>
      <c r="G70" s="19"/>
      <c r="H70" s="28">
        <v>126.6</v>
      </c>
      <c r="I70" s="28"/>
      <c r="J70">
        <v>123.3</v>
      </c>
      <c r="L70">
        <v>115.4</v>
      </c>
      <c r="N70">
        <v>107.5</v>
      </c>
      <c r="P70">
        <v>99.9</v>
      </c>
      <c r="R70" s="45">
        <v>88.7</v>
      </c>
      <c r="T70">
        <v>107.5</v>
      </c>
      <c r="V70">
        <v>109.9</v>
      </c>
      <c r="X70">
        <v>102.6</v>
      </c>
      <c r="Z70">
        <v>101.8</v>
      </c>
      <c r="AB70">
        <v>95.6</v>
      </c>
      <c r="AD70">
        <v>90.7</v>
      </c>
      <c r="AF70" s="46">
        <v>84</v>
      </c>
      <c r="AG70" s="8"/>
      <c r="AH70" s="68" t="s">
        <v>50</v>
      </c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2:71" ht="14.25">
      <c r="B71" s="15" t="s">
        <v>27</v>
      </c>
      <c r="D71" s="19"/>
      <c r="E71" s="6"/>
      <c r="F71" s="28">
        <v>108.5</v>
      </c>
      <c r="G71" s="19"/>
      <c r="H71" s="28">
        <v>107.2</v>
      </c>
      <c r="I71" s="28"/>
      <c r="J71" s="28">
        <v>103.7</v>
      </c>
      <c r="K71" s="28"/>
      <c r="L71" s="28">
        <v>100.1</v>
      </c>
      <c r="M71" s="28"/>
      <c r="N71" s="28">
        <v>96.2</v>
      </c>
      <c r="O71" s="28"/>
      <c r="P71" s="28">
        <v>89.8</v>
      </c>
      <c r="Q71" s="28"/>
      <c r="R71" s="29">
        <v>82.4</v>
      </c>
      <c r="S71" s="30"/>
      <c r="T71" s="28">
        <v>89.7</v>
      </c>
      <c r="U71" s="28"/>
      <c r="V71" s="28">
        <v>89.6</v>
      </c>
      <c r="W71" s="28"/>
      <c r="X71" s="28">
        <v>86.2</v>
      </c>
      <c r="Y71" s="28"/>
      <c r="Z71" s="28">
        <v>83.6</v>
      </c>
      <c r="AA71" s="28"/>
      <c r="AB71" s="28">
        <v>81.5</v>
      </c>
      <c r="AC71" s="28"/>
      <c r="AD71" s="28">
        <v>77.9</v>
      </c>
      <c r="AE71" s="28"/>
      <c r="AF71" s="28">
        <v>71.3</v>
      </c>
      <c r="AG71" s="8"/>
      <c r="AH71" s="8" t="s">
        <v>51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2:71" ht="14.25">
      <c r="B72" s="1" t="s">
        <v>26</v>
      </c>
      <c r="D72" s="19"/>
      <c r="E72" s="6"/>
      <c r="F72" s="28">
        <v>97.3</v>
      </c>
      <c r="G72" s="19"/>
      <c r="H72" s="28">
        <v>109.3</v>
      </c>
      <c r="I72" s="28"/>
      <c r="J72" s="28">
        <v>108.3</v>
      </c>
      <c r="K72" s="28"/>
      <c r="L72" s="28">
        <v>101.3</v>
      </c>
      <c r="M72" s="28"/>
      <c r="N72" s="28">
        <v>93.1</v>
      </c>
      <c r="O72" s="28"/>
      <c r="P72" s="28">
        <v>86.8</v>
      </c>
      <c r="Q72" s="28"/>
      <c r="R72" s="29">
        <v>79.2</v>
      </c>
      <c r="S72" s="30"/>
      <c r="T72" s="28">
        <v>91.6</v>
      </c>
      <c r="U72" s="28"/>
      <c r="V72" s="28">
        <v>95.5</v>
      </c>
      <c r="W72" s="28"/>
      <c r="X72" s="28">
        <v>92.8</v>
      </c>
      <c r="Y72" s="28"/>
      <c r="Z72" s="28">
        <v>88.8</v>
      </c>
      <c r="AA72" s="28"/>
      <c r="AB72" s="28">
        <v>82.6</v>
      </c>
      <c r="AC72" s="28"/>
      <c r="AD72" s="28">
        <v>78.2</v>
      </c>
      <c r="AE72" s="28"/>
      <c r="AF72" s="28">
        <v>75.6</v>
      </c>
      <c r="BL72" s="8"/>
      <c r="BM72" s="8"/>
      <c r="BN72" s="8"/>
      <c r="BO72" s="8"/>
      <c r="BP72" s="8"/>
      <c r="BQ72" s="8"/>
      <c r="BR72" s="8"/>
      <c r="BS72" s="8"/>
    </row>
    <row r="73" spans="2:71" ht="14.25">
      <c r="B73" s="15" t="s">
        <v>22</v>
      </c>
      <c r="D73" s="19"/>
      <c r="F73">
        <v>131.3</v>
      </c>
      <c r="H73" s="6">
        <v>131</v>
      </c>
      <c r="J73">
        <v>125.6</v>
      </c>
      <c r="L73">
        <v>120.3</v>
      </c>
      <c r="N73" s="6">
        <v>114</v>
      </c>
      <c r="P73" s="8">
        <v>106.3</v>
      </c>
      <c r="Q73" s="8"/>
      <c r="R73">
        <v>96.5</v>
      </c>
      <c r="S73" s="13"/>
      <c r="T73" s="8">
        <v>115.7</v>
      </c>
      <c r="V73">
        <v>114.3</v>
      </c>
      <c r="X73">
        <v>109.7</v>
      </c>
      <c r="Z73">
        <v>104.6</v>
      </c>
      <c r="AB73">
        <v>99.5</v>
      </c>
      <c r="AD73" s="6">
        <v>94.1</v>
      </c>
      <c r="AF73">
        <v>86.6</v>
      </c>
      <c r="AH73" t="s">
        <v>52</v>
      </c>
      <c r="BL73" s="8"/>
      <c r="BM73" s="8"/>
      <c r="BN73" s="8"/>
      <c r="BO73" s="8"/>
      <c r="BP73" s="8"/>
      <c r="BQ73" s="8"/>
      <c r="BR73" s="8"/>
      <c r="BS73" s="8"/>
    </row>
    <row r="74" spans="2:71" ht="14.25">
      <c r="B74" s="1" t="s">
        <v>21</v>
      </c>
      <c r="D74" s="19"/>
      <c r="F74">
        <v>142.4</v>
      </c>
      <c r="H74">
        <v>149.1</v>
      </c>
      <c r="J74">
        <v>145.7</v>
      </c>
      <c r="L74">
        <v>134.9</v>
      </c>
      <c r="N74" s="6">
        <v>125.6</v>
      </c>
      <c r="P74" s="8">
        <v>117.1</v>
      </c>
      <c r="Q74" s="8"/>
      <c r="R74">
        <v>106.4</v>
      </c>
      <c r="S74" s="13"/>
      <c r="T74" s="7">
        <v>130</v>
      </c>
      <c r="V74" s="6">
        <v>129</v>
      </c>
      <c r="X74">
        <v>125.8</v>
      </c>
      <c r="Z74">
        <v>118.7</v>
      </c>
      <c r="AB74">
        <v>113.6</v>
      </c>
      <c r="AD74" s="6">
        <v>108.2</v>
      </c>
      <c r="AF74">
        <v>99.3</v>
      </c>
      <c r="AH74" t="s">
        <v>54</v>
      </c>
      <c r="BL74" s="8"/>
      <c r="BM74" s="8"/>
      <c r="BN74" s="8"/>
      <c r="BO74" s="8"/>
      <c r="BP74" s="8"/>
      <c r="BQ74" s="8"/>
      <c r="BR74" s="8"/>
      <c r="BS74" s="8"/>
    </row>
    <row r="75" spans="2:71" ht="14.25">
      <c r="B75" s="1" t="s">
        <v>19</v>
      </c>
      <c r="C75" s="23"/>
      <c r="D75" s="19"/>
      <c r="E75" s="6"/>
      <c r="F75" s="28">
        <v>135.6</v>
      </c>
      <c r="G75" s="19"/>
      <c r="H75" s="28">
        <v>134.1</v>
      </c>
      <c r="I75" s="28"/>
      <c r="J75" s="28">
        <v>128.8</v>
      </c>
      <c r="K75" s="28"/>
      <c r="L75" s="28">
        <v>124.7</v>
      </c>
      <c r="M75" s="28"/>
      <c r="N75" s="28">
        <v>119.9</v>
      </c>
      <c r="O75" s="28"/>
      <c r="P75" s="28">
        <v>111.8</v>
      </c>
      <c r="Q75" s="28"/>
      <c r="R75" s="29">
        <v>103</v>
      </c>
      <c r="S75" s="30"/>
      <c r="T75" s="28">
        <v>117.9</v>
      </c>
      <c r="U75" s="28"/>
      <c r="V75" s="28">
        <v>117.6</v>
      </c>
      <c r="W75" s="28"/>
      <c r="X75" s="28">
        <v>113.6</v>
      </c>
      <c r="Y75" s="28"/>
      <c r="Z75" s="28">
        <v>109.6</v>
      </c>
      <c r="AA75" s="28"/>
      <c r="AB75" s="28">
        <v>105.9</v>
      </c>
      <c r="AC75" s="28"/>
      <c r="AD75" s="28">
        <v>101.7</v>
      </c>
      <c r="AE75" s="28"/>
      <c r="AF75" s="28">
        <v>96</v>
      </c>
      <c r="AH75" t="s">
        <v>53</v>
      </c>
      <c r="BL75" s="8"/>
      <c r="BM75" s="8"/>
      <c r="BN75" s="8"/>
      <c r="BO75" s="8"/>
      <c r="BP75" s="8"/>
      <c r="BQ75" s="8"/>
      <c r="BR75" s="8"/>
      <c r="BS75" s="8"/>
    </row>
    <row r="76" spans="2:71" ht="14.25">
      <c r="B76" s="1" t="s">
        <v>20</v>
      </c>
      <c r="C76" s="23"/>
      <c r="D76" s="19"/>
      <c r="E76" s="6"/>
      <c r="F76" s="28">
        <v>160.2</v>
      </c>
      <c r="G76" s="19"/>
      <c r="H76" s="28">
        <v>160.1</v>
      </c>
      <c r="I76" s="28"/>
      <c r="J76" s="28">
        <v>152.7</v>
      </c>
      <c r="K76" s="28"/>
      <c r="L76" s="28">
        <v>138.2</v>
      </c>
      <c r="M76" s="28"/>
      <c r="N76" s="28">
        <v>130.2</v>
      </c>
      <c r="O76" s="28"/>
      <c r="P76" s="28">
        <v>121.6</v>
      </c>
      <c r="Q76" s="28"/>
      <c r="R76" s="29">
        <v>110.5</v>
      </c>
      <c r="S76" s="30"/>
      <c r="T76" s="28">
        <v>144.8</v>
      </c>
      <c r="U76" s="28"/>
      <c r="V76" s="28">
        <v>144.9</v>
      </c>
      <c r="W76" s="28"/>
      <c r="X76" s="28">
        <v>137.2</v>
      </c>
      <c r="Y76" s="28"/>
      <c r="Z76" s="28">
        <v>127.6</v>
      </c>
      <c r="AA76" s="28"/>
      <c r="AB76" s="28">
        <v>120.7</v>
      </c>
      <c r="AC76" s="28"/>
      <c r="AD76" s="28">
        <v>113</v>
      </c>
      <c r="AE76" s="28"/>
      <c r="AF76" s="28">
        <v>101.3</v>
      </c>
      <c r="BL76" s="8"/>
      <c r="BM76" s="8"/>
      <c r="BN76" s="8"/>
      <c r="BO76" s="8"/>
      <c r="BP76" s="8"/>
      <c r="BQ76" s="8"/>
      <c r="BR76" s="8"/>
      <c r="BS76" s="8"/>
    </row>
    <row r="77" spans="2:24" ht="9" customHeight="1">
      <c r="B77" s="24"/>
      <c r="F77" s="6"/>
      <c r="H77" s="6"/>
      <c r="J77" s="6"/>
      <c r="P77" s="8"/>
      <c r="Q77" s="8"/>
      <c r="S77" s="13"/>
      <c r="T77" s="8"/>
      <c r="V77" s="6"/>
      <c r="X77" s="6"/>
    </row>
    <row r="78" ht="9" customHeight="1">
      <c r="B78" s="24"/>
    </row>
    <row r="79" spans="2:32" ht="12.75">
      <c r="B79" s="1" t="s">
        <v>41</v>
      </c>
      <c r="L79" s="1" t="s">
        <v>37</v>
      </c>
      <c r="AF79" s="23" t="s">
        <v>40</v>
      </c>
    </row>
    <row r="80" ht="12" customHeight="1"/>
    <row r="81" spans="2:32" ht="12.75">
      <c r="B81" s="10" t="s">
        <v>36</v>
      </c>
      <c r="C81" s="72">
        <v>38698</v>
      </c>
      <c r="J81" t="s">
        <v>24</v>
      </c>
      <c r="AF81" s="23" t="s">
        <v>23</v>
      </c>
    </row>
    <row r="82" ht="12.75">
      <c r="B82" s="10"/>
    </row>
    <row r="83" ht="12.75">
      <c r="B83" s="10"/>
    </row>
    <row r="84" spans="2:32" ht="18">
      <c r="B84" s="77" t="s">
        <v>25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</row>
    <row r="85" ht="12.75">
      <c r="B85" s="10"/>
    </row>
    <row r="86" spans="2:32" ht="12.75">
      <c r="B86" s="10"/>
      <c r="F86" s="4" t="s">
        <v>4</v>
      </c>
      <c r="G86" s="5"/>
      <c r="H86" s="4" t="s">
        <v>5</v>
      </c>
      <c r="I86" s="5"/>
      <c r="J86" s="4" t="s">
        <v>6</v>
      </c>
      <c r="K86" s="5"/>
      <c r="L86" s="4" t="s">
        <v>7</v>
      </c>
      <c r="M86" s="5"/>
      <c r="N86" s="4" t="s">
        <v>8</v>
      </c>
      <c r="O86" s="5"/>
      <c r="P86" s="16" t="s">
        <v>9</v>
      </c>
      <c r="Q86" s="11" t="s">
        <v>10</v>
      </c>
      <c r="R86" s="45"/>
      <c r="S86" s="38"/>
      <c r="T86" s="16" t="s">
        <v>4</v>
      </c>
      <c r="U86" s="5"/>
      <c r="V86" s="4" t="s">
        <v>5</v>
      </c>
      <c r="W86" s="5"/>
      <c r="X86" s="4" t="s">
        <v>6</v>
      </c>
      <c r="Y86" s="5"/>
      <c r="Z86" s="4" t="s">
        <v>11</v>
      </c>
      <c r="AA86" s="5"/>
      <c r="AB86" s="17" t="s">
        <v>8</v>
      </c>
      <c r="AC86" s="20" t="s">
        <v>12</v>
      </c>
      <c r="AD86" s="11"/>
      <c r="AE86" s="11" t="s">
        <v>14</v>
      </c>
      <c r="AF86" s="11"/>
    </row>
    <row r="87" spans="2:18" ht="12.75">
      <c r="B87" s="10"/>
      <c r="R87" s="45"/>
    </row>
    <row r="88" spans="2:32" ht="15.75">
      <c r="B88" s="40" t="s">
        <v>32</v>
      </c>
      <c r="E88" s="6"/>
      <c r="F88" s="28">
        <f>+F67</f>
        <v>129.0975</v>
      </c>
      <c r="G88" s="28"/>
      <c r="H88" s="28">
        <f aca="true" t="shared" si="3" ref="H88:AF88">+H67</f>
        <v>137.73312500000003</v>
      </c>
      <c r="I88" s="28"/>
      <c r="J88" s="28">
        <f t="shared" si="3"/>
        <v>136.39125</v>
      </c>
      <c r="K88" s="28"/>
      <c r="L88" s="28">
        <f t="shared" si="3"/>
        <v>132.999375</v>
      </c>
      <c r="M88" s="28"/>
      <c r="N88" s="28">
        <f t="shared" si="3"/>
        <v>127.09124999999999</v>
      </c>
      <c r="O88" s="28"/>
      <c r="P88" s="28">
        <f t="shared" si="3"/>
        <v>117.90625</v>
      </c>
      <c r="Q88" s="28"/>
      <c r="R88" s="47">
        <f t="shared" si="3"/>
        <v>97.58687499999998</v>
      </c>
      <c r="S88" s="28"/>
      <c r="T88" s="28">
        <f t="shared" si="3"/>
        <v>107.87812499999998</v>
      </c>
      <c r="U88" s="28"/>
      <c r="V88" s="28">
        <f t="shared" si="3"/>
        <v>117.65375000000002</v>
      </c>
      <c r="W88" s="28"/>
      <c r="X88" s="28">
        <f t="shared" si="3"/>
        <v>119.228125</v>
      </c>
      <c r="Y88" s="28"/>
      <c r="Z88" s="28">
        <f t="shared" si="3"/>
        <v>115.90187499999998</v>
      </c>
      <c r="AA88" s="28"/>
      <c r="AB88" s="28">
        <f t="shared" si="3"/>
        <v>111.35875</v>
      </c>
      <c r="AC88" s="28"/>
      <c r="AD88" s="28">
        <f t="shared" si="3"/>
        <v>101.90750000000001</v>
      </c>
      <c r="AE88" s="28"/>
      <c r="AF88" s="28">
        <f t="shared" si="3"/>
        <v>88.73750000000001</v>
      </c>
    </row>
    <row r="89" spans="2:18" ht="14.25">
      <c r="B89" s="10"/>
      <c r="D89" s="34"/>
      <c r="R89" s="45"/>
    </row>
    <row r="90" spans="2:32" ht="14.25">
      <c r="B90" s="39" t="s">
        <v>28</v>
      </c>
      <c r="F90" s="6">
        <f>+F71</f>
        <v>108.5</v>
      </c>
      <c r="H90" s="6">
        <f aca="true" t="shared" si="4" ref="H90:AF90">+H71</f>
        <v>107.2</v>
      </c>
      <c r="I90" s="6"/>
      <c r="J90" s="6">
        <f t="shared" si="4"/>
        <v>103.7</v>
      </c>
      <c r="K90" s="6"/>
      <c r="L90" s="6">
        <f t="shared" si="4"/>
        <v>100.1</v>
      </c>
      <c r="M90" s="6"/>
      <c r="N90" s="6">
        <f t="shared" si="4"/>
        <v>96.2</v>
      </c>
      <c r="O90" s="6"/>
      <c r="P90" s="6">
        <f t="shared" si="4"/>
        <v>89.8</v>
      </c>
      <c r="Q90" s="6"/>
      <c r="R90" s="48">
        <f t="shared" si="4"/>
        <v>82.4</v>
      </c>
      <c r="S90" s="6"/>
      <c r="T90" s="6">
        <f t="shared" si="4"/>
        <v>89.7</v>
      </c>
      <c r="U90" s="6"/>
      <c r="V90" s="6">
        <f t="shared" si="4"/>
        <v>89.6</v>
      </c>
      <c r="W90" s="6"/>
      <c r="X90" s="6">
        <f t="shared" si="4"/>
        <v>86.2</v>
      </c>
      <c r="Y90" s="6"/>
      <c r="Z90" s="6">
        <f t="shared" si="4"/>
        <v>83.6</v>
      </c>
      <c r="AA90" s="6"/>
      <c r="AB90" s="6">
        <f t="shared" si="4"/>
        <v>81.5</v>
      </c>
      <c r="AC90" s="6"/>
      <c r="AD90" s="6">
        <f t="shared" si="4"/>
        <v>77.9</v>
      </c>
      <c r="AE90" s="6"/>
      <c r="AF90" s="6">
        <f t="shared" si="4"/>
        <v>71.3</v>
      </c>
    </row>
    <row r="91" spans="2:20" ht="12.75">
      <c r="B91" s="15"/>
      <c r="D91" s="35" t="s">
        <v>35</v>
      </c>
      <c r="P91" s="8"/>
      <c r="Q91" s="8"/>
      <c r="R91" s="45"/>
      <c r="S91" s="33"/>
      <c r="T91" s="8"/>
    </row>
    <row r="92" spans="2:32" ht="12.75">
      <c r="B92" s="27" t="s">
        <v>17</v>
      </c>
      <c r="F92" s="22">
        <f>F88-F90</f>
        <v>20.597499999999997</v>
      </c>
      <c r="G92" s="2"/>
      <c r="H92" s="22">
        <f aca="true" t="shared" si="5" ref="H92:AF92">H88-H90</f>
        <v>30.533125000000027</v>
      </c>
      <c r="I92" s="22"/>
      <c r="J92" s="42">
        <f t="shared" si="5"/>
        <v>32.69125000000001</v>
      </c>
      <c r="K92" s="22"/>
      <c r="L92" s="42">
        <f t="shared" si="5"/>
        <v>32.89937499999999</v>
      </c>
      <c r="M92" s="22"/>
      <c r="N92" s="42">
        <f t="shared" si="5"/>
        <v>30.891249999999985</v>
      </c>
      <c r="O92" s="22"/>
      <c r="P92" s="22">
        <f t="shared" si="5"/>
        <v>28.106250000000003</v>
      </c>
      <c r="Q92" s="22"/>
      <c r="R92" s="49">
        <f t="shared" si="5"/>
        <v>15.186874999999972</v>
      </c>
      <c r="S92" s="22"/>
      <c r="T92" s="22">
        <f t="shared" si="5"/>
        <v>18.17812499999998</v>
      </c>
      <c r="U92" s="22"/>
      <c r="V92" s="22">
        <f t="shared" si="5"/>
        <v>28.053750000000022</v>
      </c>
      <c r="W92" s="22"/>
      <c r="X92" s="22">
        <f t="shared" si="5"/>
        <v>33.028125</v>
      </c>
      <c r="Y92" s="22"/>
      <c r="Z92" s="22">
        <f t="shared" si="5"/>
        <v>32.30187499999998</v>
      </c>
      <c r="AA92" s="22"/>
      <c r="AB92" s="22">
        <f t="shared" si="5"/>
        <v>29.85875</v>
      </c>
      <c r="AC92" s="22"/>
      <c r="AD92" s="22">
        <f t="shared" si="5"/>
        <v>24.007500000000007</v>
      </c>
      <c r="AE92" s="22"/>
      <c r="AF92" s="22">
        <f t="shared" si="5"/>
        <v>17.437500000000014</v>
      </c>
    </row>
    <row r="93" spans="2:20" ht="12.75">
      <c r="B93" s="15"/>
      <c r="P93" s="8"/>
      <c r="Q93" s="8"/>
      <c r="R93" s="45"/>
      <c r="S93" s="33"/>
      <c r="T93" s="8"/>
    </row>
    <row r="94" spans="2:20" ht="12.75">
      <c r="B94" s="15"/>
      <c r="P94" s="8"/>
      <c r="Q94" s="8"/>
      <c r="R94" s="45"/>
      <c r="S94" s="33"/>
      <c r="T94" s="8"/>
    </row>
    <row r="95" spans="2:32" ht="14.25">
      <c r="B95" s="39" t="s">
        <v>33</v>
      </c>
      <c r="F95" s="6">
        <f>+F70</f>
        <v>125.1</v>
      </c>
      <c r="H95" s="6">
        <f aca="true" t="shared" si="6" ref="H95:AF95">+H70</f>
        <v>126.6</v>
      </c>
      <c r="I95" s="6"/>
      <c r="J95" s="6">
        <f t="shared" si="6"/>
        <v>123.3</v>
      </c>
      <c r="K95" s="6"/>
      <c r="L95" s="6">
        <f t="shared" si="6"/>
        <v>115.4</v>
      </c>
      <c r="M95" s="6"/>
      <c r="N95" s="6">
        <f t="shared" si="6"/>
        <v>107.5</v>
      </c>
      <c r="O95" s="6"/>
      <c r="P95" s="6">
        <f t="shared" si="6"/>
        <v>99.9</v>
      </c>
      <c r="Q95" s="6"/>
      <c r="R95" s="48">
        <f t="shared" si="6"/>
        <v>88.7</v>
      </c>
      <c r="S95" s="6"/>
      <c r="T95" s="6">
        <f t="shared" si="6"/>
        <v>107.5</v>
      </c>
      <c r="U95" s="6"/>
      <c r="V95" s="6">
        <f t="shared" si="6"/>
        <v>109.9</v>
      </c>
      <c r="W95" s="6"/>
      <c r="X95" s="6">
        <f t="shared" si="6"/>
        <v>102.6</v>
      </c>
      <c r="Y95" s="6"/>
      <c r="Z95" s="6">
        <f t="shared" si="6"/>
        <v>101.8</v>
      </c>
      <c r="AA95" s="6"/>
      <c r="AB95" s="6">
        <f t="shared" si="6"/>
        <v>95.6</v>
      </c>
      <c r="AC95" s="6"/>
      <c r="AD95" s="6">
        <f t="shared" si="6"/>
        <v>90.7</v>
      </c>
      <c r="AE95" s="6"/>
      <c r="AF95" s="6">
        <f t="shared" si="6"/>
        <v>84</v>
      </c>
    </row>
    <row r="96" spans="2:20" ht="12.75">
      <c r="B96" s="1"/>
      <c r="D96" s="35" t="s">
        <v>34</v>
      </c>
      <c r="P96" s="8"/>
      <c r="Q96" s="8"/>
      <c r="R96" s="45"/>
      <c r="S96" s="33"/>
      <c r="T96" s="8"/>
    </row>
    <row r="97" spans="2:32" ht="15">
      <c r="B97" s="27" t="s">
        <v>17</v>
      </c>
      <c r="F97" s="22">
        <f>F88-F95</f>
        <v>3.9975000000000023</v>
      </c>
      <c r="G97" s="2"/>
      <c r="H97" s="22">
        <f aca="true" t="shared" si="7" ref="H97:AF97">H88-H95</f>
        <v>11.133125000000035</v>
      </c>
      <c r="I97" s="22"/>
      <c r="J97" s="43">
        <f t="shared" si="7"/>
        <v>13.091250000000016</v>
      </c>
      <c r="K97" s="41"/>
      <c r="L97" s="43">
        <f t="shared" si="7"/>
        <v>17.59937499999998</v>
      </c>
      <c r="M97" s="41"/>
      <c r="N97" s="43">
        <f t="shared" si="7"/>
        <v>19.591249999999988</v>
      </c>
      <c r="O97" s="22"/>
      <c r="P97" s="22">
        <f>P88-P95</f>
        <v>18.006249999999994</v>
      </c>
      <c r="Q97" s="22"/>
      <c r="R97" s="49">
        <f t="shared" si="7"/>
        <v>8.886874999999975</v>
      </c>
      <c r="S97" s="22"/>
      <c r="T97" s="22">
        <f t="shared" si="7"/>
        <v>0.37812499999998295</v>
      </c>
      <c r="U97" s="22"/>
      <c r="V97" s="22">
        <f t="shared" si="7"/>
        <v>7.753750000000011</v>
      </c>
      <c r="W97" s="22"/>
      <c r="X97" s="36">
        <f t="shared" si="7"/>
        <v>16.62812500000001</v>
      </c>
      <c r="Y97" s="36"/>
      <c r="Z97" s="36">
        <f t="shared" si="7"/>
        <v>14.101874999999978</v>
      </c>
      <c r="AA97" s="36"/>
      <c r="AB97" s="36">
        <f t="shared" si="7"/>
        <v>15.758750000000006</v>
      </c>
      <c r="AC97" s="22"/>
      <c r="AD97" s="22">
        <f t="shared" si="7"/>
        <v>11.20750000000001</v>
      </c>
      <c r="AE97" s="22"/>
      <c r="AF97" s="22">
        <f t="shared" si="7"/>
        <v>4.737500000000011</v>
      </c>
    </row>
    <row r="98" ht="12.75">
      <c r="B98" s="23"/>
    </row>
    <row r="99" spans="2:32" ht="12.75">
      <c r="B99" s="10" t="s">
        <v>62</v>
      </c>
      <c r="C99" s="72">
        <f>+C81</f>
        <v>38698</v>
      </c>
      <c r="J99" t="s">
        <v>24</v>
      </c>
      <c r="AF99" s="23" t="s">
        <v>23</v>
      </c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</sheetData>
  <mergeCells count="1">
    <mergeCell ref="B84:AF8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5" r:id="rId1"/>
  <headerFooter alignWithMargins="0">
    <oddHeader>&amp;C&amp;"Arial,Gras"&amp;14ENCANS VEAUX D'EMBOUCHE AUTOMNE  2005&amp;R&amp;P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Guy Beauregard</cp:lastModifiedBy>
  <cp:lastPrinted>2005-12-12T15:55:42Z</cp:lastPrinted>
  <dcterms:created xsi:type="dcterms:W3CDTF">1998-02-11T13:30:01Z</dcterms:created>
  <dcterms:modified xsi:type="dcterms:W3CDTF">2005-12-12T16:06:50Z</dcterms:modified>
  <cp:category/>
  <cp:version/>
  <cp:contentType/>
  <cp:contentStatus/>
</cp:coreProperties>
</file>